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PLANY FINANSOWE\2020\Zmiana planu - 29.12.2020 - pełna E-H\publikacja na stronie NFZ\"/>
    </mc:Choice>
  </mc:AlternateContent>
  <bookViews>
    <workbookView xWindow="0" yWindow="0" windowWidth="28800" windowHeight="11835" tabRatio="915"/>
  </bookViews>
  <sheets>
    <sheet name="NFZ" sheetId="23" r:id="rId1"/>
    <sheet name="CENTRALA" sheetId="22" r:id="rId2"/>
    <sheet name="Razem OW" sheetId="20" r:id="rId3"/>
    <sheet name="Dolnośląski" sheetId="19" r:id="rId4"/>
    <sheet name="KujawskoPomorski" sheetId="18" r:id="rId5"/>
    <sheet name="Lubelski" sheetId="17" r:id="rId6"/>
    <sheet name="Lubuski" sheetId="16" r:id="rId7"/>
    <sheet name="Łódzki" sheetId="15" r:id="rId8"/>
    <sheet name="Małopolski" sheetId="14" r:id="rId9"/>
    <sheet name="Mazowiecki" sheetId="13" r:id="rId10"/>
    <sheet name="Opolski" sheetId="12" r:id="rId11"/>
    <sheet name="Podkarpacki" sheetId="11" r:id="rId12"/>
    <sheet name="Podlaski" sheetId="10" r:id="rId13"/>
    <sheet name="Pomorski" sheetId="9" r:id="rId14"/>
    <sheet name="Śląski" sheetId="8" r:id="rId15"/>
    <sheet name="Świętokrzyski" sheetId="7" r:id="rId16"/>
    <sheet name="WarmińskoMazurski" sheetId="6" r:id="rId17"/>
    <sheet name="Wielkopolski" sheetId="5" r:id="rId18"/>
    <sheet name="Zachodniopomorski" sheetId="3" r:id="rId19"/>
  </sheets>
  <externalReferences>
    <externalReference r:id="rId20"/>
    <externalReference r:id="rId21"/>
    <externalReference r:id="rId22"/>
  </externalReferences>
  <definedNames>
    <definedName name="___C">[0]!___C</definedName>
    <definedName name="__C">[0]!__C</definedName>
    <definedName name="_1_0_0kos">[1]plan!#REF!</definedName>
    <definedName name="_2_0_0ra">[1]plan!#REF!</definedName>
    <definedName name="_C" localSheetId="2">'Razem OW'!_C</definedName>
    <definedName name="_C" localSheetId="18">Zachodniopomorski!_C</definedName>
    <definedName name="_C">'Razem OW'!_C</definedName>
    <definedName name="_xlnm._FilterDatabase" localSheetId="16" hidden="1">WarmińskoMazurski!$A$6:$C$71</definedName>
    <definedName name="A" localSheetId="2">'Razem OW'!A</definedName>
    <definedName name="A" localSheetId="18">Zachodniopomorski!A</definedName>
    <definedName name="A">'Razem OW'!A</definedName>
    <definedName name="A_2">[0]!A_2</definedName>
    <definedName name="aa" localSheetId="2">'Razem OW'!aa</definedName>
    <definedName name="aa" localSheetId="18">Zachodniopomorski!aa</definedName>
    <definedName name="aa">'Razem OW'!aa</definedName>
    <definedName name="aa_2">[0]!aa_2</definedName>
    <definedName name="B">[0]!B</definedName>
    <definedName name="BILANS">[2]plan!#REF!</definedName>
    <definedName name="BILANSSPZ">[2]plan!#REF!</definedName>
    <definedName name="BV" localSheetId="2">'Razem OW'!BV</definedName>
    <definedName name="BV" localSheetId="18">Zachodniopomorski!BV</definedName>
    <definedName name="BV">'Razem OW'!BV</definedName>
    <definedName name="cr" localSheetId="2">'Razem OW'!cr</definedName>
    <definedName name="cr" localSheetId="18">Zachodniopomorski!cr</definedName>
    <definedName name="cr">'Razem OW'!cr</definedName>
    <definedName name="d" localSheetId="2">'Razem OW'!d</definedName>
    <definedName name="d" localSheetId="18">Zachodniopomorski!d</definedName>
    <definedName name="d">'Razem OW'!d</definedName>
    <definedName name="depozyty">#REF!</definedName>
    <definedName name="g">[0]!g</definedName>
    <definedName name="koszty">[1]plan!#REF!</definedName>
    <definedName name="licznikn">#REF!</definedName>
    <definedName name="licznikr">#REF!</definedName>
    <definedName name="licznikz">#REF!</definedName>
    <definedName name="mn" localSheetId="2">'Razem OW'!mn</definedName>
    <definedName name="mn" localSheetId="18">Zachodniopomorski!mn</definedName>
    <definedName name="mn">'Razem OW'!mn</definedName>
    <definedName name="mon" localSheetId="2">'Razem OW'!mon</definedName>
    <definedName name="mon" localSheetId="18">Zachodniopomorski!mon</definedName>
    <definedName name="mon">'Razem OW'!mon</definedName>
    <definedName name="naleznosci">#REF!</definedName>
    <definedName name="_xlnm.Print_Area" localSheetId="1">CENTRALA!$A$1:$F$72</definedName>
    <definedName name="_xlnm.Print_Area" localSheetId="3">Dolnośląski!$A$1:$F$72</definedName>
    <definedName name="_xlnm.Print_Area" localSheetId="4">KujawskoPomorski!$A$1:$F$72</definedName>
    <definedName name="_xlnm.Print_Area" localSheetId="5">Lubelski!$A$1:$F$72</definedName>
    <definedName name="_xlnm.Print_Area" localSheetId="6">Lubuski!$A$1:$F$72</definedName>
    <definedName name="_xlnm.Print_Area" localSheetId="7">Łódzki!$A$1:$F$72</definedName>
    <definedName name="_xlnm.Print_Area" localSheetId="8">Małopolski!$A$1:$F$72</definedName>
    <definedName name="_xlnm.Print_Area" localSheetId="9">Mazowiecki!$A$1:$F$72</definedName>
    <definedName name="_xlnm.Print_Area" localSheetId="0">NFZ!$A$1:$F$101</definedName>
    <definedName name="_xlnm.Print_Area" localSheetId="10">Opolski!$A$1:$F$72</definedName>
    <definedName name="_xlnm.Print_Area" localSheetId="11">Podkarpacki!$A$1:$F$72</definedName>
    <definedName name="_xlnm.Print_Area" localSheetId="12">Podlaski!$A$1:$F$72</definedName>
    <definedName name="_xlnm.Print_Area" localSheetId="13">Pomorski!$A$1:$F$72</definedName>
    <definedName name="_xlnm.Print_Area" localSheetId="2">'Razem OW'!$A$1:$F$72</definedName>
    <definedName name="_xlnm.Print_Area" localSheetId="14">Śląski!$A$1:$F$72</definedName>
    <definedName name="_xlnm.Print_Area" localSheetId="15">Świętokrzyski!$A$1:$F$72</definedName>
    <definedName name="_xlnm.Print_Area" localSheetId="16">WarmińskoMazurski!$A$1:$F$72</definedName>
    <definedName name="_xlnm.Print_Area" localSheetId="17">Wielkopolski!$A$1:$F$72</definedName>
    <definedName name="_xlnm.Print_Area" localSheetId="18">Zachodniopomorski!$A$1:$F$72</definedName>
    <definedName name="PETLA">[3]!PETLA</definedName>
    <definedName name="rach1">#REF!</definedName>
    <definedName name="rach2">#REF!</definedName>
    <definedName name="rach3">#REF!</definedName>
    <definedName name="rgds" localSheetId="2">'Razem OW'!rgds</definedName>
    <definedName name="rgds" localSheetId="18">Zachodniopomorski!rgds</definedName>
    <definedName name="rgds">'Razem OW'!rgds</definedName>
    <definedName name="_xlnm.Print_Titles" localSheetId="0">NFZ!$1:$5</definedName>
    <definedName name="wybkosz1">#REF!</definedName>
    <definedName name="wybkosz2">#REF!</definedName>
    <definedName name="za" localSheetId="2">'Razem OW'!za</definedName>
    <definedName name="za" localSheetId="18">Zachodniopomorski!za</definedName>
    <definedName name="za">'Razem OW'!za</definedName>
  </definedNames>
  <calcPr calcId="162913" fullPrecision="0"/>
</workbook>
</file>

<file path=xl/calcChain.xml><?xml version="1.0" encoding="utf-8"?>
<calcChain xmlns="http://schemas.openxmlformats.org/spreadsheetml/2006/main">
  <c r="D72" i="3" l="1"/>
  <c r="D71" i="3"/>
  <c r="D9" i="3"/>
  <c r="D71" i="5"/>
  <c r="D69" i="5"/>
  <c r="D9" i="5"/>
  <c r="D72" i="6"/>
  <c r="D71" i="6"/>
  <c r="D69" i="6"/>
  <c r="D9" i="6"/>
  <c r="D72" i="7"/>
  <c r="D71" i="7"/>
  <c r="D69" i="7"/>
  <c r="D9" i="7"/>
  <c r="D72" i="8"/>
  <c r="D71" i="8"/>
  <c r="D70" i="8"/>
  <c r="D69" i="8"/>
  <c r="D68" i="8"/>
  <c r="D9" i="8"/>
  <c r="D71" i="9"/>
  <c r="D69" i="9"/>
  <c r="D68" i="9"/>
  <c r="D9" i="9"/>
  <c r="D72" i="10"/>
  <c r="D71" i="10"/>
  <c r="D69" i="10"/>
  <c r="D9" i="10"/>
  <c r="D72" i="11"/>
  <c r="D71" i="11"/>
  <c r="D69" i="11"/>
  <c r="D9" i="11"/>
  <c r="D72" i="12"/>
  <c r="D71" i="12"/>
  <c r="D69" i="12"/>
  <c r="D9" i="12"/>
  <c r="D72" i="13"/>
  <c r="D71" i="13"/>
  <c r="D69" i="13"/>
  <c r="D9" i="13"/>
  <c r="D72" i="14"/>
  <c r="D71" i="14"/>
  <c r="D9" i="14"/>
  <c r="D72" i="15"/>
  <c r="D71" i="15"/>
  <c r="D69" i="15"/>
  <c r="D9" i="15"/>
  <c r="D72" i="16"/>
  <c r="D71" i="16"/>
  <c r="D69" i="16"/>
  <c r="D9" i="16"/>
  <c r="D72" i="17"/>
  <c r="D71" i="17"/>
  <c r="D69" i="17"/>
  <c r="D9" i="17"/>
  <c r="D72" i="18"/>
  <c r="D71" i="18"/>
  <c r="D69" i="18"/>
  <c r="D9" i="18"/>
  <c r="D71" i="19"/>
  <c r="D9" i="19"/>
  <c r="C7" i="20"/>
  <c r="D72" i="22"/>
  <c r="D71" i="22"/>
  <c r="D69" i="22"/>
  <c r="D68" i="22"/>
  <c r="D35" i="22"/>
  <c r="D97" i="23"/>
  <c r="D89" i="23"/>
  <c r="D96" i="23" l="1"/>
  <c r="D95" i="23" s="1"/>
  <c r="C45" i="3"/>
  <c r="C45" i="5"/>
  <c r="C45" i="6"/>
  <c r="C45" i="7"/>
  <c r="C45" i="8"/>
  <c r="C45" i="9"/>
  <c r="C45" i="10"/>
  <c r="C45" i="11"/>
  <c r="C45" i="12"/>
  <c r="C45" i="13"/>
  <c r="C45" i="14"/>
  <c r="C45" i="15"/>
  <c r="C45" i="16"/>
  <c r="C45" i="17"/>
  <c r="C45" i="18"/>
  <c r="C45" i="19"/>
  <c r="C45" i="22"/>
  <c r="C6" i="22" l="1"/>
  <c r="F44" i="22"/>
  <c r="F45" i="22"/>
  <c r="D44" i="22"/>
  <c r="E44" i="22" s="1"/>
  <c r="D47" i="22"/>
  <c r="F47" i="22" s="1"/>
  <c r="C44" i="20"/>
  <c r="F43" i="18"/>
  <c r="F43" i="17"/>
  <c r="F43" i="16"/>
  <c r="F43" i="15"/>
  <c r="F43" i="14"/>
  <c r="F43" i="13"/>
  <c r="F43" i="12"/>
  <c r="F43" i="11"/>
  <c r="F43" i="10"/>
  <c r="F43" i="9"/>
  <c r="F43" i="8"/>
  <c r="F43" i="7"/>
  <c r="F43" i="6"/>
  <c r="F43" i="5"/>
  <c r="F43" i="3"/>
  <c r="F43" i="19"/>
  <c r="D44" i="18"/>
  <c r="E44" i="18" s="1"/>
  <c r="D44" i="17"/>
  <c r="E44" i="17" s="1"/>
  <c r="D44" i="16"/>
  <c r="E44" i="16" s="1"/>
  <c r="D44" i="15"/>
  <c r="D44" i="14"/>
  <c r="E44" i="14" s="1"/>
  <c r="D44" i="13"/>
  <c r="E44" i="13" s="1"/>
  <c r="D44" i="12"/>
  <c r="E44" i="12" s="1"/>
  <c r="D44" i="11"/>
  <c r="D44" i="10"/>
  <c r="E44" i="10" s="1"/>
  <c r="D44" i="9"/>
  <c r="E44" i="9" s="1"/>
  <c r="D44" i="8"/>
  <c r="E44" i="8" s="1"/>
  <c r="D44" i="7"/>
  <c r="D44" i="6"/>
  <c r="E44" i="6" s="1"/>
  <c r="D44" i="5"/>
  <c r="E44" i="5" s="1"/>
  <c r="D44" i="3"/>
  <c r="E44" i="3" s="1"/>
  <c r="D44" i="19"/>
  <c r="F38" i="22"/>
  <c r="F39" i="15"/>
  <c r="F39" i="7"/>
  <c r="F15" i="17"/>
  <c r="F14" i="22"/>
  <c r="D14" i="19"/>
  <c r="D14" i="17"/>
  <c r="D14" i="15"/>
  <c r="D14" i="13"/>
  <c r="D14" i="11"/>
  <c r="D14" i="9"/>
  <c r="F14" i="9" s="1"/>
  <c r="D14" i="7"/>
  <c r="D14" i="5"/>
  <c r="D14" i="22"/>
  <c r="F14" i="17"/>
  <c r="F15" i="16"/>
  <c r="F14" i="13"/>
  <c r="F15" i="12"/>
  <c r="F15" i="11"/>
  <c r="F15" i="7"/>
  <c r="F15" i="6"/>
  <c r="D15" i="22"/>
  <c r="D39" i="15"/>
  <c r="D39" i="11"/>
  <c r="E39" i="11" s="1"/>
  <c r="D39" i="7"/>
  <c r="D38" i="22"/>
  <c r="D39" i="22"/>
  <c r="D38" i="19"/>
  <c r="D38" i="18"/>
  <c r="D38" i="17"/>
  <c r="D38" i="16"/>
  <c r="D38" i="15"/>
  <c r="D38" i="14"/>
  <c r="D38" i="13"/>
  <c r="D38" i="12"/>
  <c r="D38" i="11"/>
  <c r="D38" i="10"/>
  <c r="D38" i="9"/>
  <c r="D38" i="8"/>
  <c r="D39" i="8"/>
  <c r="D38" i="7"/>
  <c r="D38" i="6"/>
  <c r="D38" i="5"/>
  <c r="D38" i="3"/>
  <c r="E14" i="22" l="1"/>
  <c r="F14" i="5"/>
  <c r="F38" i="19"/>
  <c r="F14" i="11"/>
  <c r="F38" i="11"/>
  <c r="F14" i="19"/>
  <c r="F38" i="3"/>
  <c r="F38" i="8"/>
  <c r="F38" i="16"/>
  <c r="F38" i="12"/>
  <c r="F44" i="3"/>
  <c r="F44" i="6"/>
  <c r="F44" i="8"/>
  <c r="F44" i="10"/>
  <c r="F44" i="12"/>
  <c r="F44" i="14"/>
  <c r="F44" i="16"/>
  <c r="F44" i="18"/>
  <c r="F44" i="19"/>
  <c r="F44" i="5"/>
  <c r="F44" i="7"/>
  <c r="F44" i="9"/>
  <c r="F44" i="11"/>
  <c r="F44" i="13"/>
  <c r="F44" i="15"/>
  <c r="F44" i="17"/>
  <c r="E47" i="22"/>
  <c r="E14" i="7"/>
  <c r="E14" i="15"/>
  <c r="E38" i="7"/>
  <c r="E38" i="12"/>
  <c r="E38" i="8"/>
  <c r="D44" i="20"/>
  <c r="E44" i="20" s="1"/>
  <c r="C65" i="23"/>
  <c r="E44" i="19"/>
  <c r="E44" i="11"/>
  <c r="E44" i="15"/>
  <c r="E44" i="7"/>
  <c r="E38" i="3"/>
  <c r="E38" i="15"/>
  <c r="E38" i="16"/>
  <c r="E15" i="22"/>
  <c r="F15" i="22"/>
  <c r="F39" i="22"/>
  <c r="E39" i="22"/>
  <c r="E38" i="22"/>
  <c r="F39" i="3"/>
  <c r="D39" i="3"/>
  <c r="D39" i="10"/>
  <c r="F39" i="10"/>
  <c r="F39" i="16"/>
  <c r="D14" i="6"/>
  <c r="F14" i="6"/>
  <c r="D14" i="12"/>
  <c r="E14" i="9"/>
  <c r="E14" i="17"/>
  <c r="F39" i="6"/>
  <c r="D39" i="6"/>
  <c r="F39" i="12"/>
  <c r="D39" i="12"/>
  <c r="D14" i="3"/>
  <c r="D14" i="8"/>
  <c r="D14" i="14"/>
  <c r="C14" i="20"/>
  <c r="C35" i="23" s="1"/>
  <c r="D14" i="18"/>
  <c r="F14" i="18" s="1"/>
  <c r="F39" i="8"/>
  <c r="E39" i="8"/>
  <c r="F39" i="14"/>
  <c r="D39" i="14"/>
  <c r="D39" i="18"/>
  <c r="F39" i="18"/>
  <c r="D14" i="10"/>
  <c r="D14" i="16"/>
  <c r="D39" i="16"/>
  <c r="E14" i="13"/>
  <c r="E14" i="5"/>
  <c r="F38" i="6"/>
  <c r="E38" i="6"/>
  <c r="F38" i="10"/>
  <c r="E38" i="10"/>
  <c r="F38" i="14"/>
  <c r="E38" i="14"/>
  <c r="C38" i="20"/>
  <c r="C59" i="23" s="1"/>
  <c r="F38" i="18"/>
  <c r="E38" i="18"/>
  <c r="C15" i="20"/>
  <c r="C36" i="23" s="1"/>
  <c r="D15" i="3"/>
  <c r="F15" i="3" s="1"/>
  <c r="D15" i="6"/>
  <c r="D15" i="8"/>
  <c r="F15" i="8" s="1"/>
  <c r="D15" i="10"/>
  <c r="D15" i="12"/>
  <c r="D15" i="14"/>
  <c r="D15" i="16"/>
  <c r="D15" i="18"/>
  <c r="E15" i="18" s="1"/>
  <c r="F14" i="7"/>
  <c r="F15" i="10"/>
  <c r="F14" i="15"/>
  <c r="F15" i="18"/>
  <c r="E38" i="11"/>
  <c r="E38" i="19"/>
  <c r="F38" i="7"/>
  <c r="F38" i="15"/>
  <c r="D39" i="5"/>
  <c r="F39" i="5"/>
  <c r="D39" i="9"/>
  <c r="F39" i="9"/>
  <c r="D39" i="13"/>
  <c r="F39" i="13"/>
  <c r="D39" i="17"/>
  <c r="F39" i="17"/>
  <c r="C39" i="20"/>
  <c r="C60" i="23" s="1"/>
  <c r="E14" i="11"/>
  <c r="E14" i="19"/>
  <c r="E39" i="7"/>
  <c r="E39" i="15"/>
  <c r="F39" i="11"/>
  <c r="F39" i="19"/>
  <c r="F38" i="5"/>
  <c r="E38" i="5"/>
  <c r="F38" i="9"/>
  <c r="E38" i="9"/>
  <c r="F38" i="13"/>
  <c r="E38" i="13"/>
  <c r="F38" i="17"/>
  <c r="E38" i="17"/>
  <c r="D15" i="5"/>
  <c r="D15" i="7"/>
  <c r="D15" i="9"/>
  <c r="D15" i="11"/>
  <c r="D15" i="13"/>
  <c r="D15" i="15"/>
  <c r="D15" i="17"/>
  <c r="D15" i="19"/>
  <c r="D39" i="19"/>
  <c r="D38" i="20"/>
  <c r="D59" i="23" s="1"/>
  <c r="C6" i="7"/>
  <c r="C6" i="8"/>
  <c r="C6" i="9"/>
  <c r="C6" i="10"/>
  <c r="C6" i="11"/>
  <c r="C6" i="12"/>
  <c r="C6" i="13"/>
  <c r="C6" i="14"/>
  <c r="C6" i="15"/>
  <c r="C6" i="16"/>
  <c r="C6" i="17"/>
  <c r="C6" i="18"/>
  <c r="C6" i="19"/>
  <c r="F14" i="8" l="1"/>
  <c r="F14" i="10"/>
  <c r="F15" i="5"/>
  <c r="F14" i="12"/>
  <c r="F15" i="9"/>
  <c r="F15" i="19"/>
  <c r="F14" i="16"/>
  <c r="F15" i="15"/>
  <c r="F14" i="14"/>
  <c r="F14" i="3"/>
  <c r="F15" i="13"/>
  <c r="F15" i="14"/>
  <c r="E14" i="12"/>
  <c r="F44" i="20"/>
  <c r="E15" i="14"/>
  <c r="E14" i="16"/>
  <c r="E14" i="8"/>
  <c r="D65" i="23"/>
  <c r="E65" i="23" s="1"/>
  <c r="E15" i="6"/>
  <c r="F60" i="23"/>
  <c r="E15" i="15"/>
  <c r="E39" i="14"/>
  <c r="E39" i="16"/>
  <c r="E39" i="9"/>
  <c r="E59" i="23"/>
  <c r="F59" i="23"/>
  <c r="E39" i="10"/>
  <c r="E39" i="13"/>
  <c r="E15" i="5"/>
  <c r="F16" i="22"/>
  <c r="F40" i="22"/>
  <c r="C6" i="6"/>
  <c r="F40" i="6"/>
  <c r="D39" i="20"/>
  <c r="D60" i="23" s="1"/>
  <c r="E60" i="23" s="1"/>
  <c r="E39" i="19"/>
  <c r="E15" i="16"/>
  <c r="E15" i="8"/>
  <c r="F39" i="20"/>
  <c r="E15" i="11"/>
  <c r="E15" i="17"/>
  <c r="D14" i="20"/>
  <c r="F14" i="20" s="1"/>
  <c r="E15" i="10"/>
  <c r="F40" i="18"/>
  <c r="F40" i="17"/>
  <c r="F40" i="16"/>
  <c r="E39" i="17"/>
  <c r="E15" i="7"/>
  <c r="E15" i="12"/>
  <c r="E15" i="3"/>
  <c r="E15" i="13"/>
  <c r="E39" i="18"/>
  <c r="E39" i="6"/>
  <c r="E39" i="3"/>
  <c r="C6" i="5"/>
  <c r="C6" i="3"/>
  <c r="E39" i="5"/>
  <c r="E15" i="19"/>
  <c r="D15" i="20"/>
  <c r="F15" i="20" s="1"/>
  <c r="E38" i="20"/>
  <c r="F38" i="20"/>
  <c r="E15" i="9"/>
  <c r="E14" i="10"/>
  <c r="E14" i="18"/>
  <c r="E14" i="14"/>
  <c r="E14" i="3"/>
  <c r="E39" i="12"/>
  <c r="E14" i="6"/>
  <c r="D24" i="23"/>
  <c r="F65" i="23" l="1"/>
  <c r="E39" i="20"/>
  <c r="E14" i="20"/>
  <c r="D35" i="23"/>
  <c r="E15" i="20"/>
  <c r="D36" i="23"/>
  <c r="F24" i="23"/>
  <c r="E24" i="23"/>
  <c r="E36" i="23" l="1"/>
  <c r="F36" i="23"/>
  <c r="E35" i="23"/>
  <c r="F35" i="23"/>
  <c r="D43" i="19" l="1"/>
  <c r="D43" i="18"/>
  <c r="D43" i="17"/>
  <c r="D43" i="16"/>
  <c r="D43" i="15"/>
  <c r="D43" i="14"/>
  <c r="D43" i="13"/>
  <c r="D43" i="12"/>
  <c r="D43" i="11"/>
  <c r="D43" i="10"/>
  <c r="D43" i="9"/>
  <c r="D43" i="8"/>
  <c r="D43" i="7"/>
  <c r="D43" i="6"/>
  <c r="D43" i="5"/>
  <c r="D43" i="3"/>
  <c r="D43" i="22"/>
  <c r="C43" i="20"/>
  <c r="F43" i="20" s="1"/>
  <c r="E43" i="11" l="1"/>
  <c r="E43" i="22"/>
  <c r="F43" i="22"/>
  <c r="E43" i="7"/>
  <c r="E43" i="19"/>
  <c r="E43" i="15"/>
  <c r="E43" i="3"/>
  <c r="E43" i="8"/>
  <c r="E43" i="12"/>
  <c r="E43" i="16"/>
  <c r="C64" i="23"/>
  <c r="E43" i="5"/>
  <c r="E43" i="9"/>
  <c r="E43" i="13"/>
  <c r="E43" i="17"/>
  <c r="D43" i="20"/>
  <c r="E43" i="20" s="1"/>
  <c r="E43" i="6"/>
  <c r="E43" i="10"/>
  <c r="E43" i="14"/>
  <c r="E43" i="18"/>
  <c r="D37" i="10"/>
  <c r="D37" i="19"/>
  <c r="E37" i="19" l="1"/>
  <c r="F37" i="10"/>
  <c r="D64" i="23"/>
  <c r="E64" i="23" s="1"/>
  <c r="D37" i="6"/>
  <c r="D37" i="14"/>
  <c r="D37" i="17"/>
  <c r="D37" i="8"/>
  <c r="D37" i="16"/>
  <c r="D37" i="18"/>
  <c r="D37" i="3"/>
  <c r="D37" i="12"/>
  <c r="D37" i="7"/>
  <c r="E37" i="10"/>
  <c r="D37" i="11"/>
  <c r="D37" i="15"/>
  <c r="D37" i="5"/>
  <c r="D37" i="9"/>
  <c r="D37" i="13"/>
  <c r="F37" i="19"/>
  <c r="F64" i="23" l="1"/>
  <c r="F37" i="12"/>
  <c r="E37" i="9"/>
  <c r="F37" i="9"/>
  <c r="E37" i="13"/>
  <c r="F37" i="13"/>
  <c r="E37" i="15"/>
  <c r="F37" i="15"/>
  <c r="E37" i="8"/>
  <c r="F37" i="8"/>
  <c r="E37" i="12"/>
  <c r="E37" i="11"/>
  <c r="F37" i="11"/>
  <c r="E37" i="3"/>
  <c r="F37" i="3"/>
  <c r="E37" i="17"/>
  <c r="F37" i="17"/>
  <c r="E37" i="18"/>
  <c r="F37" i="18"/>
  <c r="E37" i="14"/>
  <c r="F37" i="14"/>
  <c r="E37" i="5"/>
  <c r="F37" i="5"/>
  <c r="E37" i="7"/>
  <c r="F37" i="7"/>
  <c r="E37" i="16"/>
  <c r="F37" i="16"/>
  <c r="E37" i="6"/>
  <c r="F37" i="6"/>
  <c r="C37" i="20"/>
  <c r="C58" i="23" s="1"/>
  <c r="D37" i="20" l="1"/>
  <c r="E37" i="20" s="1"/>
  <c r="D37" i="22"/>
  <c r="F37" i="22" l="1"/>
  <c r="F37" i="20"/>
  <c r="D58" i="23"/>
  <c r="F58" i="23" s="1"/>
  <c r="E37" i="22"/>
  <c r="E58" i="23" l="1"/>
  <c r="D8" i="17"/>
  <c r="D10" i="17"/>
  <c r="D11" i="17"/>
  <c r="D12" i="17"/>
  <c r="D13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8" i="16"/>
  <c r="D10" i="16"/>
  <c r="D11" i="16"/>
  <c r="D12" i="16"/>
  <c r="D13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8" i="15"/>
  <c r="D10" i="15"/>
  <c r="D11" i="15"/>
  <c r="D12" i="15"/>
  <c r="D13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8" i="14"/>
  <c r="D10" i="14"/>
  <c r="D11" i="14"/>
  <c r="D12" i="14"/>
  <c r="D13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8" i="13"/>
  <c r="D10" i="13"/>
  <c r="D11" i="13"/>
  <c r="D12" i="13"/>
  <c r="D13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8" i="12"/>
  <c r="D10" i="12"/>
  <c r="D11" i="12"/>
  <c r="D12" i="12"/>
  <c r="D13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8" i="11"/>
  <c r="D10" i="11"/>
  <c r="D11" i="11"/>
  <c r="D12" i="11"/>
  <c r="D13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8" i="10"/>
  <c r="D10" i="10"/>
  <c r="D11" i="10"/>
  <c r="D12" i="10"/>
  <c r="D13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8" i="9"/>
  <c r="D10" i="9"/>
  <c r="D11" i="9"/>
  <c r="D12" i="9"/>
  <c r="D13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8" i="8"/>
  <c r="D10" i="8"/>
  <c r="D11" i="8"/>
  <c r="D12" i="8"/>
  <c r="D13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8" i="7"/>
  <c r="D10" i="7"/>
  <c r="D11" i="7"/>
  <c r="D12" i="7"/>
  <c r="D13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8" i="6"/>
  <c r="D10" i="6"/>
  <c r="D11" i="6"/>
  <c r="D12" i="6"/>
  <c r="D13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8" i="5"/>
  <c r="D10" i="5"/>
  <c r="D11" i="5"/>
  <c r="D12" i="5"/>
  <c r="D13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8" i="3"/>
  <c r="D10" i="3"/>
  <c r="D11" i="3"/>
  <c r="D12" i="3"/>
  <c r="D13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8" i="18"/>
  <c r="D10" i="18"/>
  <c r="D11" i="18"/>
  <c r="D12" i="18"/>
  <c r="D13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8" i="19"/>
  <c r="D10" i="19"/>
  <c r="D11" i="19"/>
  <c r="D12" i="19"/>
  <c r="D13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F16" i="5" l="1"/>
  <c r="E16" i="5"/>
  <c r="E16" i="3"/>
  <c r="F16" i="3"/>
  <c r="E16" i="8"/>
  <c r="F16" i="8"/>
  <c r="E16" i="12"/>
  <c r="F16" i="12"/>
  <c r="E16" i="16"/>
  <c r="F16" i="16"/>
  <c r="E16" i="9"/>
  <c r="F16" i="9"/>
  <c r="E16" i="17"/>
  <c r="F16" i="17"/>
  <c r="F16" i="18"/>
  <c r="E16" i="18"/>
  <c r="E16" i="7"/>
  <c r="F16" i="7"/>
  <c r="E16" i="11"/>
  <c r="F16" i="11"/>
  <c r="E16" i="15"/>
  <c r="F16" i="15"/>
  <c r="F16" i="13"/>
  <c r="E16" i="13"/>
  <c r="E16" i="19"/>
  <c r="F16" i="19"/>
  <c r="F16" i="6"/>
  <c r="E16" i="6"/>
  <c r="F16" i="10"/>
  <c r="E16" i="10"/>
  <c r="F16" i="14"/>
  <c r="E16" i="14"/>
  <c r="D7" i="18"/>
  <c r="D6" i="18" s="1"/>
  <c r="D7" i="17"/>
  <c r="D6" i="17" s="1"/>
  <c r="D7" i="16"/>
  <c r="D6" i="16" s="1"/>
  <c r="D7" i="15"/>
  <c r="D6" i="15" s="1"/>
  <c r="D7" i="14"/>
  <c r="D6" i="14" s="1"/>
  <c r="D7" i="13"/>
  <c r="D6" i="13" s="1"/>
  <c r="D7" i="12"/>
  <c r="D6" i="12" s="1"/>
  <c r="D7" i="11"/>
  <c r="D6" i="11" s="1"/>
  <c r="D7" i="10"/>
  <c r="D6" i="10" s="1"/>
  <c r="D7" i="9"/>
  <c r="D6" i="9" s="1"/>
  <c r="D7" i="8"/>
  <c r="D6" i="8" s="1"/>
  <c r="D7" i="7"/>
  <c r="D6" i="7" s="1"/>
  <c r="D7" i="6"/>
  <c r="D6" i="6" s="1"/>
  <c r="D7" i="5"/>
  <c r="D6" i="5" s="1"/>
  <c r="D7" i="3"/>
  <c r="D6" i="3" s="1"/>
  <c r="D7" i="19"/>
  <c r="D6" i="19" s="1"/>
  <c r="D23" i="23"/>
  <c r="D41" i="8" l="1"/>
  <c r="D41" i="13"/>
  <c r="D41" i="15"/>
  <c r="D41" i="18"/>
  <c r="D25" i="22"/>
  <c r="D25" i="20" l="1"/>
  <c r="D22" i="23"/>
  <c r="D66" i="3"/>
  <c r="D63" i="3"/>
  <c r="D62" i="3"/>
  <c r="D58" i="3"/>
  <c r="D54" i="3"/>
  <c r="D50" i="3"/>
  <c r="D48" i="3"/>
  <c r="D41" i="3"/>
  <c r="D40" i="3"/>
  <c r="F40" i="3" s="1"/>
  <c r="D72" i="5"/>
  <c r="D70" i="5"/>
  <c r="D68" i="5"/>
  <c r="D64" i="5"/>
  <c r="D63" i="5"/>
  <c r="D61" i="5"/>
  <c r="D58" i="5"/>
  <c r="D56" i="5"/>
  <c r="D55" i="5"/>
  <c r="D54" i="5"/>
  <c r="D50" i="5"/>
  <c r="D41" i="5"/>
  <c r="D66" i="6"/>
  <c r="D62" i="6"/>
  <c r="D58" i="6"/>
  <c r="D54" i="6"/>
  <c r="D53" i="6"/>
  <c r="D50" i="6"/>
  <c r="D48" i="6"/>
  <c r="D41" i="6"/>
  <c r="D68" i="7"/>
  <c r="D65" i="7"/>
  <c r="D63" i="7"/>
  <c r="D61" i="7"/>
  <c r="D60" i="7"/>
  <c r="D58" i="7"/>
  <c r="D55" i="7"/>
  <c r="D54" i="7"/>
  <c r="D51" i="7"/>
  <c r="D50" i="7"/>
  <c r="D47" i="7"/>
  <c r="D41" i="7"/>
  <c r="D66" i="8"/>
  <c r="D63" i="8"/>
  <c r="D58" i="8"/>
  <c r="D57" i="8"/>
  <c r="D54" i="8"/>
  <c r="D53" i="8"/>
  <c r="D50" i="8"/>
  <c r="D48" i="8"/>
  <c r="D40" i="8"/>
  <c r="F40" i="8" s="1"/>
  <c r="D70" i="9"/>
  <c r="D65" i="9"/>
  <c r="D61" i="9"/>
  <c r="D56" i="9"/>
  <c r="D55" i="9"/>
  <c r="D51" i="9"/>
  <c r="D47" i="9"/>
  <c r="D42" i="9"/>
  <c r="D45" i="9" s="1"/>
  <c r="D66" i="10"/>
  <c r="D64" i="10"/>
  <c r="D63" i="10"/>
  <c r="D62" i="10"/>
  <c r="D60" i="10"/>
  <c r="D57" i="10"/>
  <c r="D51" i="10"/>
  <c r="D50" i="10"/>
  <c r="D42" i="10"/>
  <c r="D45" i="10" s="1"/>
  <c r="D40" i="10"/>
  <c r="F40" i="10" s="1"/>
  <c r="D70" i="11"/>
  <c r="D68" i="11"/>
  <c r="D65" i="11"/>
  <c r="D64" i="11"/>
  <c r="D61" i="11"/>
  <c r="D60" i="11"/>
  <c r="D58" i="11"/>
  <c r="D56" i="11"/>
  <c r="D55" i="11"/>
  <c r="D54" i="11"/>
  <c r="D51" i="11"/>
  <c r="D50" i="11"/>
  <c r="D42" i="11"/>
  <c r="D45" i="11" s="1"/>
  <c r="D68" i="12"/>
  <c r="D66" i="12"/>
  <c r="D63" i="12"/>
  <c r="D62" i="12"/>
  <c r="D58" i="12"/>
  <c r="D57" i="12"/>
  <c r="D54" i="12"/>
  <c r="D53" i="12"/>
  <c r="D50" i="12"/>
  <c r="D48" i="12"/>
  <c r="D41" i="12"/>
  <c r="D40" i="12"/>
  <c r="F40" i="12" s="1"/>
  <c r="D64" i="13"/>
  <c r="D63" i="13"/>
  <c r="D61" i="13"/>
  <c r="D56" i="13"/>
  <c r="D55" i="13"/>
  <c r="D52" i="13"/>
  <c r="D51" i="13"/>
  <c r="D42" i="13"/>
  <c r="D45" i="13" s="1"/>
  <c r="D66" i="14"/>
  <c r="D63" i="14"/>
  <c r="D62" i="14"/>
  <c r="D58" i="14"/>
  <c r="D57" i="14"/>
  <c r="D54" i="14"/>
  <c r="D53" i="14"/>
  <c r="D68" i="15"/>
  <c r="D65" i="15"/>
  <c r="D64" i="15"/>
  <c r="D63" i="15"/>
  <c r="D60" i="15"/>
  <c r="D55" i="15"/>
  <c r="D51" i="15"/>
  <c r="D47" i="15"/>
  <c r="D42" i="15"/>
  <c r="D45" i="15" s="1"/>
  <c r="D70" i="16"/>
  <c r="D68" i="16"/>
  <c r="D66" i="16"/>
  <c r="D65" i="16"/>
  <c r="D63" i="16"/>
  <c r="D62" i="16"/>
  <c r="D61" i="16"/>
  <c r="D48" i="16"/>
  <c r="D40" i="16"/>
  <c r="D70" i="17"/>
  <c r="D65" i="17"/>
  <c r="D64" i="17"/>
  <c r="D63" i="17"/>
  <c r="D61" i="17"/>
  <c r="D58" i="17"/>
  <c r="D56" i="17"/>
  <c r="D55" i="17"/>
  <c r="D54" i="17"/>
  <c r="D51" i="17"/>
  <c r="D50" i="17"/>
  <c r="D47" i="17"/>
  <c r="D42" i="17"/>
  <c r="D45" i="17" s="1"/>
  <c r="D41" i="17"/>
  <c r="D40" i="17"/>
  <c r="D66" i="18"/>
  <c r="D65" i="18"/>
  <c r="D56" i="18"/>
  <c r="D54" i="18"/>
  <c r="D53" i="18"/>
  <c r="D52" i="18"/>
  <c r="D48" i="18"/>
  <c r="D47" i="18"/>
  <c r="D70" i="22"/>
  <c r="D65" i="22"/>
  <c r="D61" i="22"/>
  <c r="D60" i="22"/>
  <c r="D42" i="22"/>
  <c r="D36" i="22"/>
  <c r="D32" i="22"/>
  <c r="D31" i="22"/>
  <c r="D28" i="22"/>
  <c r="D27" i="22"/>
  <c r="D24" i="22"/>
  <c r="D23" i="22"/>
  <c r="D22" i="22"/>
  <c r="D21" i="22"/>
  <c r="D19" i="22"/>
  <c r="D17" i="22"/>
  <c r="D16" i="22"/>
  <c r="D13" i="22"/>
  <c r="D12" i="22"/>
  <c r="D11" i="22"/>
  <c r="D10" i="22"/>
  <c r="D9" i="22"/>
  <c r="D66" i="22"/>
  <c r="D64" i="22"/>
  <c r="D63" i="22"/>
  <c r="D62" i="22"/>
  <c r="C59" i="22"/>
  <c r="D58" i="22"/>
  <c r="D57" i="22"/>
  <c r="D56" i="22"/>
  <c r="D55" i="22"/>
  <c r="D54" i="22"/>
  <c r="D53" i="22"/>
  <c r="D52" i="22"/>
  <c r="D51" i="22"/>
  <c r="D48" i="22"/>
  <c r="D41" i="22"/>
  <c r="D40" i="22"/>
  <c r="D34" i="22"/>
  <c r="D33" i="22"/>
  <c r="D30" i="22"/>
  <c r="D29" i="22"/>
  <c r="D20" i="22"/>
  <c r="D18" i="22"/>
  <c r="D8" i="22"/>
  <c r="D68" i="17"/>
  <c r="D66" i="17"/>
  <c r="D62" i="17"/>
  <c r="D60" i="17"/>
  <c r="D57" i="17"/>
  <c r="D53" i="17"/>
  <c r="D52" i="17"/>
  <c r="D48" i="17"/>
  <c r="D64" i="16"/>
  <c r="D60" i="16"/>
  <c r="D58" i="16"/>
  <c r="D57" i="16"/>
  <c r="D56" i="16"/>
  <c r="D55" i="16"/>
  <c r="D54" i="16"/>
  <c r="D53" i="16"/>
  <c r="D52" i="16"/>
  <c r="D51" i="16"/>
  <c r="D42" i="16"/>
  <c r="D45" i="16" s="1"/>
  <c r="D41" i="16"/>
  <c r="D66" i="15"/>
  <c r="D62" i="15"/>
  <c r="D61" i="15"/>
  <c r="D58" i="15"/>
  <c r="D57" i="15"/>
  <c r="D56" i="15"/>
  <c r="D54" i="15"/>
  <c r="D53" i="15"/>
  <c r="D52" i="15"/>
  <c r="D50" i="15"/>
  <c r="D48" i="15"/>
  <c r="D40" i="15"/>
  <c r="F40" i="15" s="1"/>
  <c r="D70" i="14"/>
  <c r="D69" i="14"/>
  <c r="D65" i="14"/>
  <c r="D64" i="14"/>
  <c r="D61" i="14"/>
  <c r="D56" i="14"/>
  <c r="D55" i="14"/>
  <c r="D52" i="14"/>
  <c r="D51" i="14"/>
  <c r="D48" i="14"/>
  <c r="D47" i="14"/>
  <c r="D42" i="14"/>
  <c r="D45" i="14" s="1"/>
  <c r="D41" i="14"/>
  <c r="D40" i="14"/>
  <c r="F40" i="14" s="1"/>
  <c r="D70" i="13"/>
  <c r="D66" i="13"/>
  <c r="D65" i="13"/>
  <c r="D62" i="13"/>
  <c r="D58" i="13"/>
  <c r="D57" i="13"/>
  <c r="D54" i="13"/>
  <c r="D53" i="13"/>
  <c r="D48" i="13"/>
  <c r="D47" i="13"/>
  <c r="D40" i="13"/>
  <c r="F40" i="13" s="1"/>
  <c r="D70" i="12"/>
  <c r="D65" i="12"/>
  <c r="D64" i="12"/>
  <c r="D61" i="12"/>
  <c r="D60" i="12"/>
  <c r="D56" i="12"/>
  <c r="D52" i="12"/>
  <c r="D51" i="12"/>
  <c r="D42" i="12"/>
  <c r="D45" i="12" s="1"/>
  <c r="C67" i="11"/>
  <c r="D66" i="11"/>
  <c r="D63" i="11"/>
  <c r="D62" i="11"/>
  <c r="C59" i="11"/>
  <c r="D57" i="11"/>
  <c r="D53" i="11"/>
  <c r="D52" i="11"/>
  <c r="D48" i="11"/>
  <c r="D41" i="11"/>
  <c r="D40" i="11"/>
  <c r="F40" i="11" s="1"/>
  <c r="D70" i="10"/>
  <c r="D68" i="10"/>
  <c r="D65" i="10"/>
  <c r="D61" i="10"/>
  <c r="C59" i="10"/>
  <c r="D58" i="10"/>
  <c r="D56" i="10"/>
  <c r="D54" i="10"/>
  <c r="D53" i="10"/>
  <c r="D52" i="10"/>
  <c r="D47" i="10"/>
  <c r="D41" i="10"/>
  <c r="D72" i="9"/>
  <c r="D66" i="9"/>
  <c r="D64" i="9"/>
  <c r="D63" i="9"/>
  <c r="D62" i="9"/>
  <c r="D58" i="9"/>
  <c r="D57" i="9"/>
  <c r="D54" i="9"/>
  <c r="D53" i="9"/>
  <c r="D52" i="9"/>
  <c r="D48" i="9"/>
  <c r="D41" i="9"/>
  <c r="D40" i="9"/>
  <c r="F40" i="9" s="1"/>
  <c r="D65" i="8"/>
  <c r="D64" i="8"/>
  <c r="D61" i="8"/>
  <c r="D60" i="8"/>
  <c r="D56" i="8"/>
  <c r="D55" i="8"/>
  <c r="D52" i="8"/>
  <c r="D51" i="8"/>
  <c r="D47" i="8"/>
  <c r="D42" i="8"/>
  <c r="D45" i="8" s="1"/>
  <c r="D70" i="7"/>
  <c r="D66" i="7"/>
  <c r="D64" i="7"/>
  <c r="D62" i="7"/>
  <c r="D57" i="7"/>
  <c r="D56" i="7"/>
  <c r="D53" i="7"/>
  <c r="D52" i="7"/>
  <c r="D48" i="7"/>
  <c r="D42" i="7"/>
  <c r="D45" i="7" s="1"/>
  <c r="D40" i="7"/>
  <c r="F40" i="7" s="1"/>
  <c r="D70" i="6"/>
  <c r="C67" i="6"/>
  <c r="D65" i="6"/>
  <c r="D64" i="6"/>
  <c r="D63" i="6"/>
  <c r="D61" i="6"/>
  <c r="D57" i="6"/>
  <c r="D56" i="6"/>
  <c r="D55" i="6"/>
  <c r="D52" i="6"/>
  <c r="D51" i="6"/>
  <c r="D47" i="6"/>
  <c r="D42" i="6"/>
  <c r="D45" i="6" s="1"/>
  <c r="D40" i="6"/>
  <c r="D66" i="5"/>
  <c r="D65" i="5"/>
  <c r="D62" i="5"/>
  <c r="D60" i="5"/>
  <c r="D57" i="5"/>
  <c r="D53" i="5"/>
  <c r="D52" i="5"/>
  <c r="D51" i="5"/>
  <c r="D48" i="5"/>
  <c r="D47" i="5"/>
  <c r="D42" i="5"/>
  <c r="D45" i="5" s="1"/>
  <c r="D40" i="5"/>
  <c r="F40" i="5" s="1"/>
  <c r="D70" i="3"/>
  <c r="D69" i="3"/>
  <c r="D65" i="3"/>
  <c r="D64" i="3"/>
  <c r="D61" i="3"/>
  <c r="C59" i="3"/>
  <c r="D57" i="3"/>
  <c r="D56" i="3"/>
  <c r="D55" i="3"/>
  <c r="D53" i="3"/>
  <c r="D52" i="3"/>
  <c r="D51" i="3"/>
  <c r="D47" i="3"/>
  <c r="D42" i="3"/>
  <c r="D45" i="3" s="1"/>
  <c r="D70" i="18"/>
  <c r="D68" i="18"/>
  <c r="D64" i="18"/>
  <c r="D63" i="18"/>
  <c r="D62" i="18"/>
  <c r="D60" i="18"/>
  <c r="D58" i="18"/>
  <c r="D57" i="18"/>
  <c r="D55" i="18"/>
  <c r="D51" i="18"/>
  <c r="D50" i="18"/>
  <c r="D42" i="18"/>
  <c r="D45" i="18" s="1"/>
  <c r="D40" i="18"/>
  <c r="D42" i="19"/>
  <c r="D45" i="19" s="1"/>
  <c r="C36" i="20"/>
  <c r="E48" i="22" l="1"/>
  <c r="F48" i="22"/>
  <c r="E40" i="22"/>
  <c r="E16" i="22"/>
  <c r="E40" i="6"/>
  <c r="E40" i="13"/>
  <c r="E40" i="18"/>
  <c r="E40" i="7"/>
  <c r="E40" i="10"/>
  <c r="E40" i="11"/>
  <c r="E40" i="15"/>
  <c r="E40" i="8"/>
  <c r="E40" i="9"/>
  <c r="E40" i="14"/>
  <c r="E40" i="5"/>
  <c r="E40" i="17"/>
  <c r="E40" i="16"/>
  <c r="E40" i="12"/>
  <c r="E40" i="3"/>
  <c r="C67" i="22"/>
  <c r="C59" i="8"/>
  <c r="D62" i="8"/>
  <c r="C67" i="10"/>
  <c r="D49" i="8"/>
  <c r="D49" i="6"/>
  <c r="C49" i="22"/>
  <c r="C59" i="6"/>
  <c r="C67" i="3"/>
  <c r="C59" i="18"/>
  <c r="C67" i="18"/>
  <c r="C67" i="17"/>
  <c r="C49" i="5"/>
  <c r="C49" i="7"/>
  <c r="C59" i="15"/>
  <c r="D59" i="15"/>
  <c r="D59" i="16"/>
  <c r="C59" i="16"/>
  <c r="D67" i="16"/>
  <c r="D59" i="17"/>
  <c r="C49" i="18"/>
  <c r="D61" i="18"/>
  <c r="D26" i="22"/>
  <c r="D59" i="22"/>
  <c r="D7" i="22"/>
  <c r="D50" i="22"/>
  <c r="D49" i="18"/>
  <c r="D49" i="3"/>
  <c r="D67" i="18"/>
  <c r="C49" i="3"/>
  <c r="D49" i="7"/>
  <c r="C49" i="8"/>
  <c r="D60" i="3"/>
  <c r="D68" i="3"/>
  <c r="C67" i="5"/>
  <c r="C59" i="7"/>
  <c r="C67" i="7"/>
  <c r="C49" i="9"/>
  <c r="D55" i="10"/>
  <c r="C49" i="10"/>
  <c r="D49" i="5"/>
  <c r="C49" i="6"/>
  <c r="C59" i="9"/>
  <c r="D60" i="9"/>
  <c r="C59" i="5"/>
  <c r="D60" i="6"/>
  <c r="D68" i="6"/>
  <c r="C67" i="8"/>
  <c r="D50" i="9"/>
  <c r="C67" i="9"/>
  <c r="D47" i="11"/>
  <c r="D55" i="12"/>
  <c r="C49" i="12"/>
  <c r="C49" i="14"/>
  <c r="D50" i="14"/>
  <c r="D59" i="5"/>
  <c r="D67" i="5"/>
  <c r="D59" i="7"/>
  <c r="D67" i="7"/>
  <c r="D67" i="8"/>
  <c r="D48" i="10"/>
  <c r="D49" i="11"/>
  <c r="D47" i="12"/>
  <c r="D59" i="10"/>
  <c r="D67" i="10"/>
  <c r="D59" i="11"/>
  <c r="D67" i="11"/>
  <c r="D59" i="12"/>
  <c r="D67" i="12"/>
  <c r="C67" i="13"/>
  <c r="D68" i="13"/>
  <c r="C49" i="11"/>
  <c r="C59" i="12"/>
  <c r="C67" i="12"/>
  <c r="D70" i="15"/>
  <c r="C67" i="15"/>
  <c r="C49" i="13"/>
  <c r="D50" i="13"/>
  <c r="C67" i="14"/>
  <c r="D68" i="14"/>
  <c r="D47" i="16"/>
  <c r="C59" i="17"/>
  <c r="C59" i="13"/>
  <c r="D60" i="13"/>
  <c r="C59" i="14"/>
  <c r="D60" i="14"/>
  <c r="C49" i="16"/>
  <c r="D50" i="16"/>
  <c r="C67" i="16"/>
  <c r="D67" i="17"/>
  <c r="F45" i="13"/>
  <c r="C49" i="15"/>
  <c r="C49" i="17"/>
  <c r="D49" i="15"/>
  <c r="D49" i="17"/>
  <c r="D45" i="22" l="1"/>
  <c r="E45" i="22" s="1"/>
  <c r="F45" i="11"/>
  <c r="C46" i="22"/>
  <c r="D6" i="22"/>
  <c r="F45" i="7"/>
  <c r="D59" i="14"/>
  <c r="D49" i="13"/>
  <c r="D49" i="14"/>
  <c r="D67" i="3"/>
  <c r="D49" i="22"/>
  <c r="D49" i="16"/>
  <c r="D67" i="13"/>
  <c r="D67" i="9"/>
  <c r="D67" i="6"/>
  <c r="D59" i="3"/>
  <c r="D59" i="18"/>
  <c r="D67" i="22"/>
  <c r="D59" i="13"/>
  <c r="D67" i="14"/>
  <c r="D59" i="6"/>
  <c r="D59" i="8"/>
  <c r="D59" i="9"/>
  <c r="D67" i="15"/>
  <c r="D49" i="12"/>
  <c r="D49" i="9"/>
  <c r="D49" i="10"/>
  <c r="C46" i="11"/>
  <c r="C46" i="10"/>
  <c r="C46" i="3"/>
  <c r="C46" i="13"/>
  <c r="D46" i="17"/>
  <c r="C46" i="17"/>
  <c r="C46" i="6"/>
  <c r="D46" i="15"/>
  <c r="D46" i="7"/>
  <c r="C46" i="16"/>
  <c r="C46" i="12"/>
  <c r="C46" i="8"/>
  <c r="C46" i="18"/>
  <c r="C46" i="7"/>
  <c r="C46" i="5"/>
  <c r="D46" i="5"/>
  <c r="C46" i="9"/>
  <c r="C46" i="15"/>
  <c r="D46" i="11"/>
  <c r="C46" i="14"/>
  <c r="F45" i="6" l="1"/>
  <c r="F45" i="9"/>
  <c r="F45" i="3"/>
  <c r="F45" i="5"/>
  <c r="F45" i="8"/>
  <c r="F45" i="17"/>
  <c r="F45" i="10"/>
  <c r="F45" i="18"/>
  <c r="F45" i="15"/>
  <c r="F45" i="12"/>
  <c r="E49" i="22"/>
  <c r="F45" i="16"/>
  <c r="F45" i="14"/>
  <c r="D46" i="22"/>
  <c r="E46" i="22" s="1"/>
  <c r="D46" i="10"/>
  <c r="D46" i="18"/>
  <c r="D46" i="14"/>
  <c r="D46" i="6"/>
  <c r="D46" i="12"/>
  <c r="D46" i="16"/>
  <c r="D46" i="13"/>
  <c r="D46" i="3"/>
  <c r="D46" i="9"/>
  <c r="D46" i="8"/>
  <c r="C42" i="20"/>
  <c r="C57" i="23"/>
  <c r="F42" i="19"/>
  <c r="F42" i="18"/>
  <c r="F42" i="17"/>
  <c r="F42" i="16"/>
  <c r="F42" i="15"/>
  <c r="F42" i="14"/>
  <c r="F42" i="13"/>
  <c r="F42" i="12"/>
  <c r="F42" i="11"/>
  <c r="F42" i="10"/>
  <c r="F42" i="9"/>
  <c r="F42" i="8"/>
  <c r="F42" i="7"/>
  <c r="F42" i="6"/>
  <c r="F42" i="5"/>
  <c r="F42" i="3"/>
  <c r="F42" i="22"/>
  <c r="E42" i="18"/>
  <c r="E42" i="17"/>
  <c r="E42" i="16"/>
  <c r="E42" i="15"/>
  <c r="E42" i="14"/>
  <c r="E42" i="13"/>
  <c r="E42" i="12"/>
  <c r="E42" i="11"/>
  <c r="E42" i="10"/>
  <c r="E42" i="9"/>
  <c r="E42" i="8"/>
  <c r="E42" i="7"/>
  <c r="E42" i="6"/>
  <c r="E42" i="5"/>
  <c r="E42" i="3"/>
  <c r="F36" i="7"/>
  <c r="F36" i="16"/>
  <c r="F36" i="15"/>
  <c r="F36" i="12"/>
  <c r="F36" i="11"/>
  <c r="F36" i="8"/>
  <c r="F36" i="3"/>
  <c r="F36" i="19"/>
  <c r="E36" i="16"/>
  <c r="E36" i="15"/>
  <c r="E36" i="12"/>
  <c r="E36" i="11"/>
  <c r="E36" i="8"/>
  <c r="E36" i="7"/>
  <c r="E36" i="3"/>
  <c r="F46" i="22" l="1"/>
  <c r="C63" i="23"/>
  <c r="D42" i="20"/>
  <c r="D63" i="23" s="1"/>
  <c r="E42" i="19"/>
  <c r="E42" i="22"/>
  <c r="E36" i="5"/>
  <c r="E36" i="9"/>
  <c r="E36" i="6"/>
  <c r="E36" i="10"/>
  <c r="E36" i="14"/>
  <c r="E36" i="18"/>
  <c r="F36" i="6"/>
  <c r="F36" i="10"/>
  <c r="F36" i="14"/>
  <c r="F36" i="18"/>
  <c r="E36" i="22"/>
  <c r="E36" i="13"/>
  <c r="E36" i="17"/>
  <c r="F36" i="22"/>
  <c r="F36" i="5"/>
  <c r="F36" i="9"/>
  <c r="F36" i="13"/>
  <c r="F36" i="17"/>
  <c r="E36" i="19"/>
  <c r="E63" i="23" l="1"/>
  <c r="F63" i="23"/>
  <c r="F42" i="20"/>
  <c r="E42" i="20"/>
  <c r="D36" i="20"/>
  <c r="F27" i="13"/>
  <c r="E10" i="17"/>
  <c r="E10" i="13"/>
  <c r="E12" i="19"/>
  <c r="E65" i="8"/>
  <c r="F23" i="23"/>
  <c r="F41" i="10"/>
  <c r="F89" i="23"/>
  <c r="E60" i="22"/>
  <c r="F31" i="6"/>
  <c r="F11" i="6"/>
  <c r="E11" i="15"/>
  <c r="E10" i="15"/>
  <c r="E31" i="7"/>
  <c r="F31" i="8"/>
  <c r="F31" i="9"/>
  <c r="E31" i="13"/>
  <c r="E31" i="18"/>
  <c r="E31" i="19"/>
  <c r="E32" i="5"/>
  <c r="F32" i="9"/>
  <c r="E32" i="12"/>
  <c r="F32" i="16"/>
  <c r="E32" i="18"/>
  <c r="F32" i="19"/>
  <c r="F9" i="6"/>
  <c r="E9" i="7"/>
  <c r="E9" i="8"/>
  <c r="E9" i="11"/>
  <c r="E9" i="13"/>
  <c r="F9" i="17"/>
  <c r="F10" i="5"/>
  <c r="F10" i="7"/>
  <c r="F10" i="8"/>
  <c r="F10" i="9"/>
  <c r="E10" i="10"/>
  <c r="F10" i="11"/>
  <c r="F10" i="12"/>
  <c r="E10" i="14"/>
  <c r="F10" i="16"/>
  <c r="F10" i="18"/>
  <c r="D10" i="23"/>
  <c r="E10" i="23" s="1"/>
  <c r="F11" i="3"/>
  <c r="E11" i="8"/>
  <c r="F11" i="11"/>
  <c r="E11" i="13"/>
  <c r="F11" i="18"/>
  <c r="D11" i="23"/>
  <c r="E11" i="23" s="1"/>
  <c r="F9" i="15"/>
  <c r="F31" i="15"/>
  <c r="D41" i="19"/>
  <c r="E65" i="22"/>
  <c r="F20" i="19"/>
  <c r="F8" i="19"/>
  <c r="F18" i="17"/>
  <c r="F12" i="13"/>
  <c r="E24" i="12"/>
  <c r="F23" i="12"/>
  <c r="E13" i="12"/>
  <c r="E24" i="11"/>
  <c r="E12" i="11"/>
  <c r="E34" i="7"/>
  <c r="E22" i="7"/>
  <c r="E13" i="7"/>
  <c r="E24" i="5"/>
  <c r="E12" i="5"/>
  <c r="F13" i="5"/>
  <c r="E24" i="3"/>
  <c r="E12" i="3"/>
  <c r="E12" i="13"/>
  <c r="E17" i="19"/>
  <c r="E19" i="16"/>
  <c r="F23" i="16"/>
  <c r="E21" i="15"/>
  <c r="F23" i="15"/>
  <c r="F27" i="15"/>
  <c r="E29" i="15"/>
  <c r="E30" i="15"/>
  <c r="E34" i="15"/>
  <c r="F17" i="8"/>
  <c r="F19" i="8"/>
  <c r="E22" i="8"/>
  <c r="E24" i="8"/>
  <c r="E27" i="8"/>
  <c r="F28" i="8"/>
  <c r="E34" i="8"/>
  <c r="F25" i="6"/>
  <c r="F28" i="6"/>
  <c r="E29" i="6"/>
  <c r="E33" i="6"/>
  <c r="E34" i="6"/>
  <c r="E8" i="18"/>
  <c r="F19" i="18"/>
  <c r="E20" i="18"/>
  <c r="F21" i="18"/>
  <c r="E23" i="18"/>
  <c r="E24" i="18"/>
  <c r="E25" i="18"/>
  <c r="F28" i="18"/>
  <c r="F29" i="18"/>
  <c r="C59" i="19"/>
  <c r="C49" i="19"/>
  <c r="F48" i="18"/>
  <c r="E51" i="18"/>
  <c r="F56" i="18"/>
  <c r="E58" i="18"/>
  <c r="F61" i="18"/>
  <c r="E66" i="18"/>
  <c r="F48" i="17"/>
  <c r="E50" i="17"/>
  <c r="E51" i="17"/>
  <c r="E55" i="17"/>
  <c r="F60" i="17"/>
  <c r="E64" i="17"/>
  <c r="F65" i="17"/>
  <c r="F66" i="17"/>
  <c r="E48" i="16"/>
  <c r="E51" i="16"/>
  <c r="E53" i="16"/>
  <c r="E56" i="16"/>
  <c r="F58" i="16"/>
  <c r="E60" i="16"/>
  <c r="E63" i="16"/>
  <c r="F48" i="15"/>
  <c r="E52" i="15"/>
  <c r="E54" i="15"/>
  <c r="F56" i="15"/>
  <c r="E58" i="15"/>
  <c r="E60" i="15"/>
  <c r="F61" i="15"/>
  <c r="E64" i="15"/>
  <c r="E66" i="15"/>
  <c r="F50" i="14"/>
  <c r="E53" i="14"/>
  <c r="E57" i="14"/>
  <c r="E60" i="14"/>
  <c r="E61" i="14"/>
  <c r="E64" i="14"/>
  <c r="E65" i="14"/>
  <c r="E50" i="13"/>
  <c r="F51" i="13"/>
  <c r="F55" i="13"/>
  <c r="F56" i="13"/>
  <c r="E57" i="13"/>
  <c r="E58" i="13"/>
  <c r="E60" i="13"/>
  <c r="F61" i="13"/>
  <c r="E63" i="13"/>
  <c r="F66" i="13"/>
  <c r="E50" i="12"/>
  <c r="F51" i="12"/>
  <c r="E52" i="12"/>
  <c r="E53" i="12"/>
  <c r="F55" i="12"/>
  <c r="F60" i="12"/>
  <c r="F63" i="12"/>
  <c r="E64" i="12"/>
  <c r="E65" i="12"/>
  <c r="F50" i="11"/>
  <c r="E52" i="11"/>
  <c r="E54" i="11"/>
  <c r="F55" i="11"/>
  <c r="E58" i="11"/>
  <c r="E60" i="11"/>
  <c r="E62" i="11"/>
  <c r="F65" i="11"/>
  <c r="F48" i="10"/>
  <c r="F51" i="10"/>
  <c r="F52" i="10"/>
  <c r="F53" i="10"/>
  <c r="E55" i="10"/>
  <c r="E58" i="10"/>
  <c r="E60" i="10"/>
  <c r="F61" i="10"/>
  <c r="F63" i="10"/>
  <c r="E66" i="10"/>
  <c r="E48" i="9"/>
  <c r="E50" i="9"/>
  <c r="E54" i="9"/>
  <c r="F55" i="9"/>
  <c r="E61" i="9"/>
  <c r="E62" i="9"/>
  <c r="F63" i="9"/>
  <c r="E65" i="9"/>
  <c r="F50" i="8"/>
  <c r="E51" i="8"/>
  <c r="E53" i="8"/>
  <c r="E55" i="8"/>
  <c r="F56" i="8"/>
  <c r="E57" i="8"/>
  <c r="F58" i="8"/>
  <c r="E60" i="8"/>
  <c r="E61" i="8"/>
  <c r="E66" i="8"/>
  <c r="F48" i="7"/>
  <c r="E52" i="7"/>
  <c r="F55" i="7"/>
  <c r="E60" i="7"/>
  <c r="E61" i="7"/>
  <c r="E63" i="7"/>
  <c r="F65" i="7"/>
  <c r="F66" i="7"/>
  <c r="F48" i="6"/>
  <c r="E50" i="6"/>
  <c r="F51" i="6"/>
  <c r="F52" i="6"/>
  <c r="F57" i="6"/>
  <c r="E61" i="6"/>
  <c r="E63" i="6"/>
  <c r="F65" i="6"/>
  <c r="E48" i="5"/>
  <c r="E50" i="5"/>
  <c r="E51" i="5"/>
  <c r="F52" i="5"/>
  <c r="F55" i="5"/>
  <c r="E56" i="5"/>
  <c r="E58" i="5"/>
  <c r="E62" i="5"/>
  <c r="F63" i="5"/>
  <c r="F65" i="5"/>
  <c r="F66" i="5"/>
  <c r="E48" i="3"/>
  <c r="E51" i="3"/>
  <c r="E53" i="3"/>
  <c r="F55" i="3"/>
  <c r="E56" i="3"/>
  <c r="E62" i="3"/>
  <c r="E64" i="3"/>
  <c r="D48" i="19"/>
  <c r="D50" i="19"/>
  <c r="D51" i="19"/>
  <c r="D52" i="19"/>
  <c r="D53" i="19"/>
  <c r="D54" i="19"/>
  <c r="D55" i="19"/>
  <c r="D56" i="19"/>
  <c r="D57" i="19"/>
  <c r="D58" i="19"/>
  <c r="D60" i="19"/>
  <c r="D61" i="19"/>
  <c r="D62" i="19"/>
  <c r="D63" i="19"/>
  <c r="D64" i="19"/>
  <c r="D65" i="19"/>
  <c r="D66" i="19"/>
  <c r="F47" i="17"/>
  <c r="E47" i="16"/>
  <c r="E47" i="15"/>
  <c r="F47" i="13"/>
  <c r="E47" i="12"/>
  <c r="E47" i="9"/>
  <c r="E47" i="8"/>
  <c r="E47" i="7"/>
  <c r="F47" i="3"/>
  <c r="D47" i="19"/>
  <c r="E34" i="19"/>
  <c r="D40" i="19"/>
  <c r="F40" i="19" s="1"/>
  <c r="D68" i="19"/>
  <c r="D69" i="19"/>
  <c r="D70" i="19"/>
  <c r="D72" i="19"/>
  <c r="E8" i="13"/>
  <c r="E13" i="13"/>
  <c r="E21" i="13"/>
  <c r="E33" i="13"/>
  <c r="E34" i="13"/>
  <c r="E18" i="5"/>
  <c r="F19" i="5"/>
  <c r="E20" i="5"/>
  <c r="F21" i="5"/>
  <c r="E22" i="5"/>
  <c r="E23" i="5"/>
  <c r="E25" i="5"/>
  <c r="F27" i="5"/>
  <c r="F29" i="5"/>
  <c r="F13" i="14"/>
  <c r="F22" i="14"/>
  <c r="F24" i="14"/>
  <c r="E25" i="14"/>
  <c r="E27" i="14"/>
  <c r="F29" i="14"/>
  <c r="E30" i="14"/>
  <c r="F8" i="11"/>
  <c r="E19" i="11"/>
  <c r="F21" i="11"/>
  <c r="E23" i="11"/>
  <c r="E25" i="11"/>
  <c r="E29" i="11"/>
  <c r="E30" i="11"/>
  <c r="F34" i="11"/>
  <c r="E27" i="3"/>
  <c r="E20" i="17"/>
  <c r="E22" i="17"/>
  <c r="F24" i="17"/>
  <c r="E25" i="17"/>
  <c r="E28" i="17"/>
  <c r="E33" i="17"/>
  <c r="F21" i="10"/>
  <c r="E22" i="10"/>
  <c r="E24" i="10"/>
  <c r="F25" i="10"/>
  <c r="F27" i="10"/>
  <c r="F28" i="10"/>
  <c r="E30" i="10"/>
  <c r="E35" i="10"/>
  <c r="F17" i="7"/>
  <c r="E19" i="7"/>
  <c r="E23" i="7"/>
  <c r="E24" i="7"/>
  <c r="E35" i="7"/>
  <c r="E13" i="19"/>
  <c r="E21" i="19"/>
  <c r="E23" i="19"/>
  <c r="F25" i="19"/>
  <c r="E29" i="19"/>
  <c r="E30" i="19"/>
  <c r="F31" i="13"/>
  <c r="E22" i="12"/>
  <c r="E25" i="12"/>
  <c r="F27" i="12"/>
  <c r="E28" i="12"/>
  <c r="E35" i="12"/>
  <c r="F8" i="9"/>
  <c r="E25" i="9"/>
  <c r="E30" i="9"/>
  <c r="E33" i="9"/>
  <c r="F9" i="18"/>
  <c r="E13" i="18"/>
  <c r="E9" i="15"/>
  <c r="E22" i="23"/>
  <c r="C24" i="20"/>
  <c r="F24" i="9"/>
  <c r="F18" i="12"/>
  <c r="E20" i="12"/>
  <c r="E18" i="9"/>
  <c r="E22" i="9"/>
  <c r="E24" i="9"/>
  <c r="E18" i="6"/>
  <c r="E41" i="17"/>
  <c r="F41" i="16"/>
  <c r="E41" i="15"/>
  <c r="F41" i="12"/>
  <c r="F41" i="11"/>
  <c r="F41" i="7"/>
  <c r="F34" i="3"/>
  <c r="E35" i="3"/>
  <c r="F20" i="15"/>
  <c r="F12" i="9"/>
  <c r="E17" i="6"/>
  <c r="F25" i="3"/>
  <c r="E29" i="3"/>
  <c r="E30" i="3"/>
  <c r="F13" i="18"/>
  <c r="F33" i="18"/>
  <c r="F33" i="16"/>
  <c r="F33" i="14"/>
  <c r="F33" i="12"/>
  <c r="F33" i="10"/>
  <c r="F33" i="8"/>
  <c r="E12" i="18"/>
  <c r="F28" i="9"/>
  <c r="F34" i="18"/>
  <c r="F65" i="22"/>
  <c r="F54" i="9"/>
  <c r="F20" i="3"/>
  <c r="F30" i="3"/>
  <c r="F33" i="3"/>
  <c r="F35" i="3"/>
  <c r="F53" i="3"/>
  <c r="F54" i="3"/>
  <c r="F62" i="3"/>
  <c r="F64" i="3"/>
  <c r="E68" i="3"/>
  <c r="F68" i="3"/>
  <c r="F70" i="3"/>
  <c r="F71" i="3"/>
  <c r="F30" i="5"/>
  <c r="F35" i="5"/>
  <c r="F53" i="5"/>
  <c r="F54" i="5"/>
  <c r="F57" i="5"/>
  <c r="F62" i="5"/>
  <c r="F64" i="5"/>
  <c r="F69" i="5"/>
  <c r="E70" i="5"/>
  <c r="F70" i="5"/>
  <c r="F72" i="5"/>
  <c r="F30" i="6"/>
  <c r="F35" i="6"/>
  <c r="F53" i="6"/>
  <c r="F54" i="6"/>
  <c r="F62" i="6"/>
  <c r="F64" i="6"/>
  <c r="F68" i="6"/>
  <c r="F70" i="6"/>
  <c r="F30" i="7"/>
  <c r="F33" i="7"/>
  <c r="F35" i="7"/>
  <c r="F53" i="7"/>
  <c r="F54" i="7"/>
  <c r="F62" i="7"/>
  <c r="F64" i="7"/>
  <c r="F68" i="7"/>
  <c r="F70" i="7"/>
  <c r="F30" i="8"/>
  <c r="F35" i="8"/>
  <c r="F51" i="8"/>
  <c r="F54" i="8"/>
  <c r="F62" i="8"/>
  <c r="F64" i="8"/>
  <c r="F69" i="8"/>
  <c r="F70" i="8"/>
  <c r="E72" i="8"/>
  <c r="F30" i="9"/>
  <c r="F35" i="9"/>
  <c r="F62" i="9"/>
  <c r="F64" i="9"/>
  <c r="E70" i="9"/>
  <c r="F70" i="9"/>
  <c r="F30" i="10"/>
  <c r="F32" i="10"/>
  <c r="F35" i="10"/>
  <c r="F54" i="10"/>
  <c r="F58" i="10"/>
  <c r="F62" i="10"/>
  <c r="F64" i="10"/>
  <c r="F68" i="10"/>
  <c r="E69" i="10"/>
  <c r="F70" i="10"/>
  <c r="F30" i="11"/>
  <c r="F35" i="11"/>
  <c r="F53" i="11"/>
  <c r="F54" i="11"/>
  <c r="F62" i="11"/>
  <c r="F64" i="11"/>
  <c r="F68" i="11"/>
  <c r="F70" i="11"/>
  <c r="F72" i="11"/>
  <c r="F30" i="12"/>
  <c r="F35" i="12"/>
  <c r="F50" i="12"/>
  <c r="F53" i="12"/>
  <c r="F54" i="12"/>
  <c r="F62" i="12"/>
  <c r="F64" i="12"/>
  <c r="E66" i="12"/>
  <c r="F68" i="12"/>
  <c r="F69" i="12"/>
  <c r="F70" i="12"/>
  <c r="E18" i="13"/>
  <c r="F18" i="13"/>
  <c r="F30" i="13"/>
  <c r="F32" i="13"/>
  <c r="F35" i="13"/>
  <c r="F54" i="13"/>
  <c r="F62" i="13"/>
  <c r="F64" i="13"/>
  <c r="F68" i="13"/>
  <c r="E69" i="13"/>
  <c r="F70" i="13"/>
  <c r="F30" i="14"/>
  <c r="F35" i="14"/>
  <c r="F53" i="14"/>
  <c r="F54" i="14"/>
  <c r="E56" i="14"/>
  <c r="F62" i="14"/>
  <c r="F64" i="14"/>
  <c r="F68" i="14"/>
  <c r="E69" i="14"/>
  <c r="F70" i="14"/>
  <c r="F30" i="15"/>
  <c r="F32" i="15"/>
  <c r="F33" i="15"/>
  <c r="F35" i="15"/>
  <c r="F53" i="15"/>
  <c r="F54" i="15"/>
  <c r="F62" i="15"/>
  <c r="F64" i="15"/>
  <c r="F68" i="15"/>
  <c r="F70" i="15"/>
  <c r="F71" i="15"/>
  <c r="F30" i="16"/>
  <c r="F35" i="16"/>
  <c r="F52" i="16"/>
  <c r="F54" i="16"/>
  <c r="F62" i="16"/>
  <c r="F64" i="16"/>
  <c r="F68" i="16"/>
  <c r="F70" i="16"/>
  <c r="F30" i="17"/>
  <c r="F35" i="17"/>
  <c r="F53" i="17"/>
  <c r="F54" i="17"/>
  <c r="F62" i="17"/>
  <c r="F64" i="17"/>
  <c r="F68" i="17"/>
  <c r="E69" i="17"/>
  <c r="E70" i="17"/>
  <c r="F70" i="17"/>
  <c r="F30" i="18"/>
  <c r="E34" i="18"/>
  <c r="F35" i="18"/>
  <c r="F54" i="18"/>
  <c r="F58" i="18"/>
  <c r="F62" i="18"/>
  <c r="F64" i="18"/>
  <c r="F68" i="18"/>
  <c r="F70" i="18"/>
  <c r="F71" i="18"/>
  <c r="F30" i="19"/>
  <c r="F33" i="19"/>
  <c r="F35" i="19"/>
  <c r="F54" i="19"/>
  <c r="F62" i="19"/>
  <c r="F64" i="19"/>
  <c r="C67" i="19"/>
  <c r="F68" i="19"/>
  <c r="F70" i="19"/>
  <c r="C8" i="20"/>
  <c r="C9" i="20"/>
  <c r="C10" i="20"/>
  <c r="C11" i="20"/>
  <c r="C12" i="20"/>
  <c r="C13" i="20"/>
  <c r="C16" i="20"/>
  <c r="C37" i="23" s="1"/>
  <c r="C17" i="20"/>
  <c r="C18" i="20"/>
  <c r="C19" i="20"/>
  <c r="C20" i="20"/>
  <c r="C21" i="20"/>
  <c r="C22" i="20"/>
  <c r="C23" i="20"/>
  <c r="C25" i="20"/>
  <c r="C28" i="20"/>
  <c r="C29" i="20"/>
  <c r="C30" i="20"/>
  <c r="C31" i="20"/>
  <c r="C32" i="20"/>
  <c r="C33" i="20"/>
  <c r="C34" i="20"/>
  <c r="C35" i="20"/>
  <c r="C40" i="20"/>
  <c r="C41" i="20"/>
  <c r="C47" i="20"/>
  <c r="C48" i="20"/>
  <c r="C50" i="20"/>
  <c r="C51" i="20"/>
  <c r="C52" i="20"/>
  <c r="C53" i="20"/>
  <c r="C54" i="20"/>
  <c r="C55" i="20"/>
  <c r="C56" i="20"/>
  <c r="C57" i="20"/>
  <c r="C58" i="20"/>
  <c r="C60" i="20"/>
  <c r="C61" i="20"/>
  <c r="C62" i="20"/>
  <c r="C63" i="20"/>
  <c r="C64" i="20"/>
  <c r="C65" i="20"/>
  <c r="C66" i="20"/>
  <c r="C68" i="20"/>
  <c r="C69" i="20"/>
  <c r="C70" i="20"/>
  <c r="C71" i="20"/>
  <c r="C72" i="20"/>
  <c r="F19" i="22"/>
  <c r="E20" i="22"/>
  <c r="F20" i="22"/>
  <c r="F21" i="22"/>
  <c r="F22" i="22"/>
  <c r="F23" i="22"/>
  <c r="E25" i="22"/>
  <c r="F25" i="22"/>
  <c r="F27" i="22"/>
  <c r="F28" i="22"/>
  <c r="E29" i="22"/>
  <c r="F29" i="22"/>
  <c r="F31" i="22"/>
  <c r="F32" i="22"/>
  <c r="F33" i="22"/>
  <c r="F34" i="22"/>
  <c r="F35" i="22"/>
  <c r="E41" i="22"/>
  <c r="F41" i="22"/>
  <c r="E52" i="22"/>
  <c r="F52" i="22"/>
  <c r="F54" i="22"/>
  <c r="E55" i="22"/>
  <c r="E62" i="22"/>
  <c r="F62" i="22"/>
  <c r="F64" i="22"/>
  <c r="E66" i="22"/>
  <c r="F68" i="22"/>
  <c r="E69" i="22"/>
  <c r="F70" i="22"/>
  <c r="F71" i="22"/>
  <c r="E72" i="22"/>
  <c r="F72" i="22"/>
  <c r="C6" i="23"/>
  <c r="D7" i="23"/>
  <c r="E7" i="23" s="1"/>
  <c r="D8" i="23"/>
  <c r="E8" i="23" s="1"/>
  <c r="C9" i="23"/>
  <c r="F10" i="23"/>
  <c r="F11" i="23"/>
  <c r="C12" i="23"/>
  <c r="D13" i="23"/>
  <c r="F13" i="23" s="1"/>
  <c r="D14" i="23"/>
  <c r="E14" i="23" s="1"/>
  <c r="C15" i="23"/>
  <c r="D16" i="23"/>
  <c r="E16" i="23" s="1"/>
  <c r="D17" i="23"/>
  <c r="F17" i="23" s="1"/>
  <c r="D18" i="23"/>
  <c r="E18" i="23" s="1"/>
  <c r="D20" i="23"/>
  <c r="E20" i="23" s="1"/>
  <c r="D21" i="23"/>
  <c r="E21" i="23" s="1"/>
  <c r="D26" i="23"/>
  <c r="C95" i="23"/>
  <c r="E95" i="23" s="1"/>
  <c r="E96" i="23"/>
  <c r="E97" i="23"/>
  <c r="C27" i="20"/>
  <c r="F56" i="9"/>
  <c r="F53" i="9"/>
  <c r="F18" i="15"/>
  <c r="F20" i="12"/>
  <c r="F60" i="22"/>
  <c r="F12" i="18"/>
  <c r="E28" i="9"/>
  <c r="F17" i="15"/>
  <c r="E20" i="15"/>
  <c r="F69" i="22"/>
  <c r="F53" i="22"/>
  <c r="E70" i="22"/>
  <c r="E68" i="22"/>
  <c r="E56" i="22"/>
  <c r="E51" i="22"/>
  <c r="E33" i="22"/>
  <c r="E32" i="22"/>
  <c r="E31" i="22"/>
  <c r="E54" i="12"/>
  <c r="E53" i="6"/>
  <c r="F33" i="5"/>
  <c r="E13" i="6"/>
  <c r="F33" i="13"/>
  <c r="E17" i="15"/>
  <c r="F33" i="17"/>
  <c r="F33" i="11"/>
  <c r="F33" i="9"/>
  <c r="E21" i="3"/>
  <c r="F21" i="3"/>
  <c r="F33" i="6"/>
  <c r="E17" i="10"/>
  <c r="F17" i="6"/>
  <c r="E21" i="9"/>
  <c r="E55" i="7"/>
  <c r="E17" i="12"/>
  <c r="E20" i="3"/>
  <c r="E12" i="9"/>
  <c r="F7" i="16"/>
  <c r="F11" i="15"/>
  <c r="F23" i="6"/>
  <c r="E23" i="6"/>
  <c r="F19" i="15"/>
  <c r="E19" i="15"/>
  <c r="E13" i="15"/>
  <c r="F12" i="15"/>
  <c r="E27" i="9"/>
  <c r="F13" i="15"/>
  <c r="F18" i="6"/>
  <c r="E12" i="15"/>
  <c r="F32" i="8"/>
  <c r="F22" i="9"/>
  <c r="E18" i="15"/>
  <c r="E18" i="12"/>
  <c r="F13" i="6"/>
  <c r="F18" i="9"/>
  <c r="E22" i="6"/>
  <c r="F22" i="6"/>
  <c r="E12" i="17"/>
  <c r="F12" i="6"/>
  <c r="E12" i="6"/>
  <c r="F34" i="9"/>
  <c r="F19" i="6"/>
  <c r="E34" i="9"/>
  <c r="E19" i="6"/>
  <c r="F8" i="6"/>
  <c r="E8" i="6"/>
  <c r="E21" i="6"/>
  <c r="F21" i="6"/>
  <c r="F32" i="12"/>
  <c r="E12" i="8"/>
  <c r="F20" i="6"/>
  <c r="E20" i="6"/>
  <c r="F20" i="9"/>
  <c r="E20" i="9"/>
  <c r="F24" i="22"/>
  <c r="E24" i="22"/>
  <c r="F51" i="22"/>
  <c r="F55" i="22"/>
  <c r="E64" i="22"/>
  <c r="F56" i="22"/>
  <c r="F23" i="9"/>
  <c r="E23" i="9"/>
  <c r="E19" i="9"/>
  <c r="F13" i="9"/>
  <c r="E13" i="9"/>
  <c r="F21" i="12"/>
  <c r="E21" i="12"/>
  <c r="F17" i="12"/>
  <c r="F19" i="13"/>
  <c r="F19" i="9"/>
  <c r="F17" i="18"/>
  <c r="E17" i="18"/>
  <c r="E11" i="18"/>
  <c r="F29" i="9"/>
  <c r="E29" i="9"/>
  <c r="F25" i="9"/>
  <c r="E17" i="9"/>
  <c r="E11" i="9"/>
  <c r="F27" i="9"/>
  <c r="F17" i="9"/>
  <c r="F10" i="17"/>
  <c r="F20" i="13"/>
  <c r="E10" i="9"/>
  <c r="F21" i="9"/>
  <c r="F12" i="17"/>
  <c r="E11" i="17"/>
  <c r="F11" i="17"/>
  <c r="F17" i="13"/>
  <c r="E20" i="13"/>
  <c r="F13" i="17"/>
  <c r="E13" i="17"/>
  <c r="E24" i="14"/>
  <c r="F22" i="13"/>
  <c r="E17" i="13"/>
  <c r="F23" i="13"/>
  <c r="E23" i="13"/>
  <c r="F21" i="13"/>
  <c r="F13" i="13"/>
  <c r="E22" i="13"/>
  <c r="F25" i="13"/>
  <c r="E25" i="13"/>
  <c r="E19" i="13"/>
  <c r="F24" i="13"/>
  <c r="E24" i="13"/>
  <c r="F9" i="13"/>
  <c r="F9" i="19"/>
  <c r="E61" i="10"/>
  <c r="F65" i="14"/>
  <c r="F50" i="16"/>
  <c r="F48" i="11"/>
  <c r="E56" i="10"/>
  <c r="F56" i="10"/>
  <c r="F17" i="17"/>
  <c r="E19" i="12"/>
  <c r="F19" i="12"/>
  <c r="F28" i="7"/>
  <c r="E28" i="7"/>
  <c r="E27" i="7"/>
  <c r="F27" i="7"/>
  <c r="E9" i="18"/>
  <c r="F10" i="19"/>
  <c r="F10" i="13"/>
  <c r="E10" i="18"/>
  <c r="E10" i="19"/>
  <c r="F11" i="9"/>
  <c r="F11" i="13"/>
  <c r="F11" i="19"/>
  <c r="E11" i="19"/>
  <c r="F10" i="15"/>
  <c r="E9" i="6"/>
  <c r="E9" i="19"/>
  <c r="E32" i="6"/>
  <c r="E11" i="6"/>
  <c r="E10" i="6"/>
  <c r="F10" i="6"/>
  <c r="F58" i="22"/>
  <c r="F12" i="19"/>
  <c r="C100" i="23" l="1"/>
  <c r="D47" i="20"/>
  <c r="E47" i="20" s="1"/>
  <c r="E40" i="19"/>
  <c r="C19" i="23"/>
  <c r="E47" i="19"/>
  <c r="E64" i="19"/>
  <c r="F55" i="19"/>
  <c r="F51" i="19"/>
  <c r="F71" i="19"/>
  <c r="F63" i="19"/>
  <c r="E70" i="19"/>
  <c r="E66" i="19"/>
  <c r="E41" i="19"/>
  <c r="E68" i="19"/>
  <c r="F69" i="19"/>
  <c r="E52" i="19"/>
  <c r="F21" i="23"/>
  <c r="C98" i="23"/>
  <c r="C91" i="23"/>
  <c r="C85" i="23"/>
  <c r="C80" i="23"/>
  <c r="C72" i="23"/>
  <c r="C53" i="23"/>
  <c r="C49" i="23"/>
  <c r="C42" i="23"/>
  <c r="C48" i="23"/>
  <c r="C94" i="23"/>
  <c r="C88" i="23"/>
  <c r="C84" i="23"/>
  <c r="C79" i="23"/>
  <c r="C75" i="23"/>
  <c r="C70" i="23"/>
  <c r="C52" i="23"/>
  <c r="C46" i="23"/>
  <c r="C41" i="23"/>
  <c r="C93" i="23"/>
  <c r="C87" i="23"/>
  <c r="C83" i="23"/>
  <c r="C78" i="23"/>
  <c r="C74" i="23"/>
  <c r="C69" i="23"/>
  <c r="C55" i="23"/>
  <c r="C44" i="23"/>
  <c r="C40" i="23"/>
  <c r="C45" i="23"/>
  <c r="C92" i="23"/>
  <c r="C86" i="23"/>
  <c r="C73" i="23"/>
  <c r="C62" i="23"/>
  <c r="C54" i="23"/>
  <c r="C50" i="23"/>
  <c r="C43" i="23"/>
  <c r="D57" i="23"/>
  <c r="F36" i="20"/>
  <c r="F27" i="19"/>
  <c r="E26" i="19"/>
  <c r="F66" i="10"/>
  <c r="E52" i="3"/>
  <c r="E64" i="8"/>
  <c r="E21" i="14"/>
  <c r="F12" i="8"/>
  <c r="E56" i="18"/>
  <c r="F9" i="23"/>
  <c r="E7" i="14"/>
  <c r="F29" i="7"/>
  <c r="E7" i="17"/>
  <c r="E50" i="7"/>
  <c r="E7" i="15"/>
  <c r="E7" i="10"/>
  <c r="E7" i="16"/>
  <c r="E7" i="6"/>
  <c r="E7" i="19"/>
  <c r="F65" i="18"/>
  <c r="F56" i="19"/>
  <c r="F27" i="8"/>
  <c r="F31" i="18"/>
  <c r="E28" i="18"/>
  <c r="E60" i="17"/>
  <c r="C46" i="19"/>
  <c r="E36" i="20"/>
  <c r="E11" i="11"/>
  <c r="E63" i="12"/>
  <c r="F47" i="8"/>
  <c r="E61" i="18"/>
  <c r="E48" i="15"/>
  <c r="F50" i="6"/>
  <c r="F8" i="14"/>
  <c r="E8" i="14"/>
  <c r="E17" i="17"/>
  <c r="E23" i="16"/>
  <c r="E54" i="8"/>
  <c r="E54" i="16"/>
  <c r="F13" i="8"/>
  <c r="F97" i="23"/>
  <c r="F41" i="15"/>
  <c r="F31" i="11"/>
  <c r="F19" i="16"/>
  <c r="F31" i="7"/>
  <c r="F27" i="11"/>
  <c r="F28" i="14"/>
  <c r="E72" i="11"/>
  <c r="E31" i="14"/>
  <c r="F61" i="7"/>
  <c r="F65" i="8"/>
  <c r="F11" i="8"/>
  <c r="E65" i="16"/>
  <c r="D6" i="23"/>
  <c r="E21" i="11"/>
  <c r="F31" i="14"/>
  <c r="E11" i="12"/>
  <c r="F13" i="16"/>
  <c r="E55" i="11"/>
  <c r="E41" i="11"/>
  <c r="F7" i="15"/>
  <c r="E64" i="9"/>
  <c r="E51" i="9"/>
  <c r="F65" i="12"/>
  <c r="F61" i="11"/>
  <c r="E35" i="5"/>
  <c r="E8" i="11"/>
  <c r="F29" i="13"/>
  <c r="E35" i="9"/>
  <c r="E48" i="17"/>
  <c r="F41" i="6"/>
  <c r="F71" i="10"/>
  <c r="F63" i="18"/>
  <c r="F24" i="3"/>
  <c r="F48" i="12"/>
  <c r="F60" i="9"/>
  <c r="F24" i="10"/>
  <c r="E68" i="17"/>
  <c r="E41" i="6"/>
  <c r="E55" i="3"/>
  <c r="F72" i="10"/>
  <c r="F26" i="23"/>
  <c r="F20" i="23"/>
  <c r="E60" i="9"/>
  <c r="E48" i="6"/>
  <c r="F50" i="7"/>
  <c r="F63" i="8"/>
  <c r="F63" i="7"/>
  <c r="E52" i="5"/>
  <c r="E25" i="6"/>
  <c r="F51" i="9"/>
  <c r="E57" i="12"/>
  <c r="E51" i="10"/>
  <c r="E61" i="11"/>
  <c r="E51" i="19"/>
  <c r="F27" i="14"/>
  <c r="E29" i="13"/>
  <c r="E17" i="11"/>
  <c r="F7" i="6"/>
  <c r="E27" i="11"/>
  <c r="E58" i="7"/>
  <c r="E58" i="8"/>
  <c r="F58" i="7"/>
  <c r="F12" i="11"/>
  <c r="F21" i="14"/>
  <c r="E50" i="8"/>
  <c r="E47" i="3"/>
  <c r="E62" i="6"/>
  <c r="E23" i="14"/>
  <c r="E31" i="16"/>
  <c r="F9" i="14"/>
  <c r="E47" i="13"/>
  <c r="E61" i="16"/>
  <c r="E57" i="16"/>
  <c r="E55" i="9"/>
  <c r="E60" i="3"/>
  <c r="F28" i="5"/>
  <c r="F31" i="16"/>
  <c r="F25" i="17"/>
  <c r="E35" i="8"/>
  <c r="E63" i="8"/>
  <c r="F57" i="13"/>
  <c r="E62" i="12"/>
  <c r="F11" i="10"/>
  <c r="E54" i="5"/>
  <c r="F71" i="8"/>
  <c r="E9" i="10"/>
  <c r="E52" i="10"/>
  <c r="E58" i="6"/>
  <c r="F47" i="7"/>
  <c r="F57" i="3"/>
  <c r="F55" i="17"/>
  <c r="E65" i="18"/>
  <c r="E55" i="13"/>
  <c r="E53" i="15"/>
  <c r="E35" i="14"/>
  <c r="E13" i="5"/>
  <c r="F22" i="8"/>
  <c r="E33" i="15"/>
  <c r="E64" i="7"/>
  <c r="F21" i="15"/>
  <c r="F56" i="14"/>
  <c r="E71" i="8"/>
  <c r="E59" i="22"/>
  <c r="E11" i="10"/>
  <c r="E50" i="15"/>
  <c r="E12" i="10"/>
  <c r="E27" i="16"/>
  <c r="E61" i="13"/>
  <c r="E72" i="5"/>
  <c r="F9" i="10"/>
  <c r="E32" i="15"/>
  <c r="E34" i="5"/>
  <c r="E48" i="11"/>
  <c r="F60" i="13"/>
  <c r="E50" i="11"/>
  <c r="E51" i="12"/>
  <c r="F66" i="9"/>
  <c r="F17" i="14"/>
  <c r="E19" i="18"/>
  <c r="E33" i="8"/>
  <c r="E62" i="15"/>
  <c r="E71" i="18"/>
  <c r="E72" i="10"/>
  <c r="F41" i="17"/>
  <c r="E70" i="7"/>
  <c r="E57" i="5"/>
  <c r="F9" i="11"/>
  <c r="F61" i="6"/>
  <c r="F7" i="13"/>
  <c r="E25" i="7"/>
  <c r="F28" i="16"/>
  <c r="E53" i="17"/>
  <c r="E13" i="3"/>
  <c r="E34" i="3"/>
  <c r="E41" i="16"/>
  <c r="E24" i="6"/>
  <c r="F32" i="14"/>
  <c r="E10" i="5"/>
  <c r="E34" i="12"/>
  <c r="F65" i="13"/>
  <c r="F58" i="14"/>
  <c r="E50" i="3"/>
  <c r="F52" i="13"/>
  <c r="F48" i="3"/>
  <c r="F50" i="5"/>
  <c r="F52" i="12"/>
  <c r="F57" i="7"/>
  <c r="E29" i="5"/>
  <c r="E31" i="11"/>
  <c r="F8" i="7"/>
  <c r="F25" i="7"/>
  <c r="F12" i="10"/>
  <c r="F20" i="5"/>
  <c r="E17" i="14"/>
  <c r="F19" i="7"/>
  <c r="E20" i="7"/>
  <c r="E28" i="6"/>
  <c r="F21" i="16"/>
  <c r="E52" i="13"/>
  <c r="E62" i="19"/>
  <c r="E23" i="8"/>
  <c r="F19" i="3"/>
  <c r="F47" i="11"/>
  <c r="F55" i="15"/>
  <c r="E8" i="7"/>
  <c r="F58" i="15"/>
  <c r="E41" i="10"/>
  <c r="E54" i="14"/>
  <c r="F8" i="18"/>
  <c r="E20" i="8"/>
  <c r="E32" i="19"/>
  <c r="F10" i="14"/>
  <c r="F58" i="3"/>
  <c r="F52" i="7"/>
  <c r="E54" i="18"/>
  <c r="E60" i="12"/>
  <c r="E19" i="5"/>
  <c r="E8" i="5"/>
  <c r="F23" i="5"/>
  <c r="F19" i="11"/>
  <c r="F8" i="5"/>
  <c r="F13" i="19"/>
  <c r="E19" i="8"/>
  <c r="F25" i="18"/>
  <c r="F28" i="12"/>
  <c r="E21" i="10"/>
  <c r="E56" i="13"/>
  <c r="E68" i="10"/>
  <c r="F24" i="6"/>
  <c r="F22" i="10"/>
  <c r="F23" i="11"/>
  <c r="E47" i="11"/>
  <c r="E71" i="3"/>
  <c r="E28" i="16"/>
  <c r="E26" i="13"/>
  <c r="F34" i="12"/>
  <c r="E69" i="18"/>
  <c r="F72" i="14"/>
  <c r="E41" i="3"/>
  <c r="F41" i="9"/>
  <c r="E41" i="9"/>
  <c r="E51" i="14"/>
  <c r="E62" i="16"/>
  <c r="F48" i="16"/>
  <c r="E60" i="18"/>
  <c r="F60" i="18"/>
  <c r="F27" i="18"/>
  <c r="E27" i="18"/>
  <c r="F22" i="18"/>
  <c r="E18" i="18"/>
  <c r="E30" i="8"/>
  <c r="E21" i="8"/>
  <c r="F8" i="8"/>
  <c r="F24" i="15"/>
  <c r="E24" i="15"/>
  <c r="F17" i="16"/>
  <c r="E17" i="16"/>
  <c r="E12" i="12"/>
  <c r="F12" i="12"/>
  <c r="F52" i="15"/>
  <c r="F50" i="17"/>
  <c r="F51" i="18"/>
  <c r="E69" i="19"/>
  <c r="E17" i="8"/>
  <c r="F22" i="16"/>
  <c r="E28" i="19"/>
  <c r="F28" i="19"/>
  <c r="F23" i="7"/>
  <c r="F18" i="7"/>
  <c r="E18" i="7"/>
  <c r="E66" i="13"/>
  <c r="F53" i="13"/>
  <c r="E53" i="13"/>
  <c r="E48" i="13"/>
  <c r="F48" i="13"/>
  <c r="F60" i="15"/>
  <c r="F51" i="15"/>
  <c r="E57" i="17"/>
  <c r="E7" i="18"/>
  <c r="F7" i="18"/>
  <c r="E30" i="18"/>
  <c r="F29" i="8"/>
  <c r="E29" i="8"/>
  <c r="E58" i="3"/>
  <c r="E60" i="5"/>
  <c r="F57" i="8"/>
  <c r="F57" i="16"/>
  <c r="F56" i="12"/>
  <c r="E61" i="15"/>
  <c r="E50" i="18"/>
  <c r="E34" i="17"/>
  <c r="F18" i="18"/>
  <c r="F29" i="6"/>
  <c r="F34" i="15"/>
  <c r="E30" i="6"/>
  <c r="E55" i="5"/>
  <c r="E58" i="14"/>
  <c r="E64" i="5"/>
  <c r="E56" i="12"/>
  <c r="E66" i="17"/>
  <c r="F50" i="18"/>
  <c r="F65" i="15"/>
  <c r="E63" i="9"/>
  <c r="F22" i="19"/>
  <c r="F34" i="7"/>
  <c r="F23" i="17"/>
  <c r="E33" i="7"/>
  <c r="E21" i="16"/>
  <c r="E62" i="17"/>
  <c r="E56" i="15"/>
  <c r="E63" i="18"/>
  <c r="E68" i="12"/>
  <c r="F29" i="3"/>
  <c r="F55" i="18"/>
  <c r="F71" i="12"/>
  <c r="F68" i="9"/>
  <c r="E68" i="9"/>
  <c r="E35" i="19"/>
  <c r="F24" i="12"/>
  <c r="E24" i="16"/>
  <c r="F24" i="16"/>
  <c r="E10" i="8"/>
  <c r="E32" i="17"/>
  <c r="F32" i="17"/>
  <c r="E32" i="8"/>
  <c r="E31" i="5"/>
  <c r="E31" i="15"/>
  <c r="F58" i="13"/>
  <c r="E54" i="13"/>
  <c r="E66" i="16"/>
  <c r="E64" i="18"/>
  <c r="F29" i="15"/>
  <c r="E8" i="15"/>
  <c r="F8" i="15"/>
  <c r="F29" i="16"/>
  <c r="E29" i="16"/>
  <c r="F63" i="13"/>
  <c r="E21" i="5"/>
  <c r="E33" i="5"/>
  <c r="F34" i="13"/>
  <c r="E25" i="8"/>
  <c r="F51" i="14"/>
  <c r="E30" i="5"/>
  <c r="F47" i="5"/>
  <c r="E47" i="5"/>
  <c r="E54" i="19"/>
  <c r="F51" i="11"/>
  <c r="E51" i="11"/>
  <c r="F61" i="12"/>
  <c r="E61" i="12"/>
  <c r="F63" i="14"/>
  <c r="E63" i="14"/>
  <c r="E21" i="18"/>
  <c r="F24" i="8"/>
  <c r="F28" i="15"/>
  <c r="E28" i="15"/>
  <c r="E34" i="16"/>
  <c r="F34" i="16"/>
  <c r="F50" i="10"/>
  <c r="F24" i="11"/>
  <c r="F18" i="19"/>
  <c r="F20" i="8"/>
  <c r="E47" i="18"/>
  <c r="F57" i="17"/>
  <c r="E22" i="16"/>
  <c r="F72" i="17"/>
  <c r="E72" i="17"/>
  <c r="F66" i="16"/>
  <c r="F69" i="3"/>
  <c r="E69" i="3"/>
  <c r="E21" i="7"/>
  <c r="F21" i="7"/>
  <c r="E13" i="10"/>
  <c r="E27" i="17"/>
  <c r="F22" i="17"/>
  <c r="E34" i="11"/>
  <c r="E29" i="14"/>
  <c r="E65" i="7"/>
  <c r="F63" i="11"/>
  <c r="E63" i="11"/>
  <c r="F58" i="11"/>
  <c r="E35" i="6"/>
  <c r="E7" i="5"/>
  <c r="F19" i="14"/>
  <c r="F52" i="8"/>
  <c r="E53" i="9"/>
  <c r="F57" i="10"/>
  <c r="E12" i="7"/>
  <c r="E7" i="12"/>
  <c r="F47" i="10"/>
  <c r="E47" i="10"/>
  <c r="F9" i="3"/>
  <c r="E26" i="22"/>
  <c r="F13" i="3"/>
  <c r="E56" i="8"/>
  <c r="E66" i="9"/>
  <c r="E61" i="19"/>
  <c r="E62" i="10"/>
  <c r="E71" i="19"/>
  <c r="E20" i="10"/>
  <c r="E33" i="3"/>
  <c r="E41" i="8"/>
  <c r="F41" i="13"/>
  <c r="E48" i="14"/>
  <c r="F51" i="16"/>
  <c r="E65" i="17"/>
  <c r="F57" i="18"/>
  <c r="E7" i="8"/>
  <c r="F7" i="8"/>
  <c r="E29" i="18"/>
  <c r="E33" i="16"/>
  <c r="F32" i="5"/>
  <c r="F32" i="6"/>
  <c r="E32" i="10"/>
  <c r="E11" i="5"/>
  <c r="F11" i="5"/>
  <c r="F12" i="5"/>
  <c r="E9" i="12"/>
  <c r="F53" i="19"/>
  <c r="F50" i="15"/>
  <c r="E57" i="10"/>
  <c r="E56" i="19"/>
  <c r="E53" i="19"/>
  <c r="E22" i="14"/>
  <c r="F17" i="11"/>
  <c r="E22" i="15"/>
  <c r="F34" i="6"/>
  <c r="E8" i="16"/>
  <c r="E35" i="16"/>
  <c r="E13" i="16"/>
  <c r="F27" i="16"/>
  <c r="E27" i="15"/>
  <c r="E52" i="8"/>
  <c r="E63" i="15"/>
  <c r="E13" i="14"/>
  <c r="E57" i="3"/>
  <c r="F48" i="9"/>
  <c r="E61" i="17"/>
  <c r="F48" i="14"/>
  <c r="E70" i="11"/>
  <c r="F66" i="8"/>
  <c r="F61" i="8"/>
  <c r="F17" i="19"/>
  <c r="E17" i="7"/>
  <c r="E7" i="7"/>
  <c r="F7" i="7"/>
  <c r="E8" i="10"/>
  <c r="F8" i="10"/>
  <c r="F61" i="19"/>
  <c r="E56" i="6"/>
  <c r="F56" i="6"/>
  <c r="E48" i="7"/>
  <c r="E62" i="8"/>
  <c r="E54" i="10"/>
  <c r="E70" i="13"/>
  <c r="F7" i="11"/>
  <c r="E23" i="10"/>
  <c r="F48" i="19"/>
  <c r="E48" i="19"/>
  <c r="E57" i="9"/>
  <c r="E7" i="9"/>
  <c r="F7" i="9"/>
  <c r="F25" i="11"/>
  <c r="F23" i="10"/>
  <c r="E28" i="10"/>
  <c r="E47" i="17"/>
  <c r="E69" i="12"/>
  <c r="E18" i="3"/>
  <c r="F18" i="3"/>
  <c r="E64" i="16"/>
  <c r="F22" i="7"/>
  <c r="F13" i="11"/>
  <c r="E32" i="14"/>
  <c r="E32" i="16"/>
  <c r="F12" i="7"/>
  <c r="F9" i="12"/>
  <c r="E23" i="12"/>
  <c r="E9" i="17"/>
  <c r="F22" i="5"/>
  <c r="F17" i="5"/>
  <c r="F29" i="11"/>
  <c r="E19" i="14"/>
  <c r="F9" i="8"/>
  <c r="E28" i="8"/>
  <c r="E9" i="3"/>
  <c r="F22" i="15"/>
  <c r="E13" i="11"/>
  <c r="E41" i="13"/>
  <c r="E51" i="6"/>
  <c r="E64" i="6"/>
  <c r="F20" i="10"/>
  <c r="E68" i="14"/>
  <c r="F69" i="10"/>
  <c r="E72" i="9"/>
  <c r="F72" i="9"/>
  <c r="F69" i="9"/>
  <c r="E69" i="9"/>
  <c r="F57" i="9"/>
  <c r="F58" i="5"/>
  <c r="F23" i="3"/>
  <c r="F17" i="3"/>
  <c r="E17" i="3"/>
  <c r="F41" i="14"/>
  <c r="E41" i="14"/>
  <c r="F41" i="18"/>
  <c r="E41" i="18"/>
  <c r="F23" i="8"/>
  <c r="E25" i="19"/>
  <c r="E33" i="11"/>
  <c r="E65" i="11"/>
  <c r="E56" i="11"/>
  <c r="F56" i="11"/>
  <c r="F66" i="12"/>
  <c r="F61" i="14"/>
  <c r="E58" i="16"/>
  <c r="F51" i="17"/>
  <c r="F52" i="18"/>
  <c r="E52" i="18"/>
  <c r="F23" i="18"/>
  <c r="F27" i="6"/>
  <c r="E27" i="6"/>
  <c r="F18" i="8"/>
  <c r="E18" i="8"/>
  <c r="F25" i="15"/>
  <c r="E18" i="16"/>
  <c r="F18" i="16"/>
  <c r="F8" i="17"/>
  <c r="E8" i="17"/>
  <c r="F59" i="22"/>
  <c r="E10" i="3"/>
  <c r="F8" i="23"/>
  <c r="F96" i="23"/>
  <c r="F7" i="23"/>
  <c r="E89" i="23"/>
  <c r="E23" i="23"/>
  <c r="F22" i="23"/>
  <c r="F18" i="23"/>
  <c r="F14" i="23"/>
  <c r="F26" i="22"/>
  <c r="F60" i="3"/>
  <c r="F51" i="3"/>
  <c r="E25" i="3"/>
  <c r="E19" i="3"/>
  <c r="F41" i="3"/>
  <c r="E23" i="3"/>
  <c r="F56" i="3"/>
  <c r="D61" i="20"/>
  <c r="E61" i="20" s="1"/>
  <c r="E65" i="5"/>
  <c r="F60" i="5"/>
  <c r="F51" i="5"/>
  <c r="E28" i="5"/>
  <c r="E17" i="5"/>
  <c r="D10" i="20"/>
  <c r="E63" i="5"/>
  <c r="F7" i="5"/>
  <c r="E69" i="5"/>
  <c r="F25" i="5"/>
  <c r="F63" i="6"/>
  <c r="E65" i="6"/>
  <c r="F58" i="6"/>
  <c r="E54" i="6"/>
  <c r="E47" i="6"/>
  <c r="F47" i="6"/>
  <c r="F60" i="7"/>
  <c r="F13" i="7"/>
  <c r="F20" i="7"/>
  <c r="E57" i="7"/>
  <c r="E53" i="7"/>
  <c r="F34" i="8"/>
  <c r="E8" i="8"/>
  <c r="F21" i="8"/>
  <c r="F60" i="8"/>
  <c r="F41" i="8"/>
  <c r="E13" i="8"/>
  <c r="F25" i="8"/>
  <c r="F71" i="9"/>
  <c r="E71" i="9"/>
  <c r="F13" i="10"/>
  <c r="E71" i="10"/>
  <c r="E64" i="10"/>
  <c r="F10" i="10"/>
  <c r="E50" i="10"/>
  <c r="F55" i="10"/>
  <c r="E20" i="11"/>
  <c r="E7" i="11"/>
  <c r="F20" i="11"/>
  <c r="E35" i="11"/>
  <c r="F57" i="12"/>
  <c r="F7" i="12"/>
  <c r="E30" i="12"/>
  <c r="E41" i="12"/>
  <c r="E71" i="12"/>
  <c r="E48" i="12"/>
  <c r="E55" i="12"/>
  <c r="D11" i="20"/>
  <c r="E65" i="13"/>
  <c r="E51" i="13"/>
  <c r="E62" i="14"/>
  <c r="E72" i="14"/>
  <c r="F69" i="14"/>
  <c r="F71" i="14"/>
  <c r="F12" i="14"/>
  <c r="D12" i="20"/>
  <c r="E9" i="14"/>
  <c r="F23" i="14"/>
  <c r="E12" i="14"/>
  <c r="E57" i="15"/>
  <c r="E23" i="15"/>
  <c r="E55" i="15"/>
  <c r="E25" i="15"/>
  <c r="D60" i="20"/>
  <c r="D82" i="23" s="1"/>
  <c r="D66" i="20"/>
  <c r="D88" i="23" s="1"/>
  <c r="E65" i="15"/>
  <c r="F57" i="15"/>
  <c r="E35" i="15"/>
  <c r="E51" i="15"/>
  <c r="F61" i="16"/>
  <c r="E50" i="16"/>
  <c r="F63" i="16"/>
  <c r="F65" i="16"/>
  <c r="E52" i="16"/>
  <c r="D54" i="20"/>
  <c r="E54" i="20" s="1"/>
  <c r="F8" i="16"/>
  <c r="D58" i="20"/>
  <c r="E58" i="20" s="1"/>
  <c r="F27" i="17"/>
  <c r="F7" i="17"/>
  <c r="E35" i="17"/>
  <c r="F61" i="17"/>
  <c r="D41" i="20"/>
  <c r="F41" i="20" s="1"/>
  <c r="E63" i="17"/>
  <c r="D53" i="20"/>
  <c r="D75" i="23" s="1"/>
  <c r="D64" i="20"/>
  <c r="D86" i="23" s="1"/>
  <c r="F20" i="18"/>
  <c r="E48" i="18"/>
  <c r="E68" i="18"/>
  <c r="E22" i="18"/>
  <c r="E33" i="18"/>
  <c r="F72" i="18"/>
  <c r="F66" i="18"/>
  <c r="D62" i="20"/>
  <c r="D84" i="23" s="1"/>
  <c r="D69" i="20"/>
  <c r="F24" i="18"/>
  <c r="E72" i="18"/>
  <c r="F69" i="18"/>
  <c r="F47" i="18"/>
  <c r="F71" i="16"/>
  <c r="E71" i="16"/>
  <c r="E68" i="13"/>
  <c r="E70" i="10"/>
  <c r="E67" i="10"/>
  <c r="E71" i="5"/>
  <c r="F71" i="5"/>
  <c r="E7" i="3"/>
  <c r="E28" i="3"/>
  <c r="F28" i="3"/>
  <c r="E27" i="12"/>
  <c r="F41" i="5"/>
  <c r="E41" i="5"/>
  <c r="E22" i="11"/>
  <c r="F22" i="11"/>
  <c r="F18" i="11"/>
  <c r="E18" i="11"/>
  <c r="E34" i="14"/>
  <c r="F34" i="14"/>
  <c r="E20" i="14"/>
  <c r="F20" i="14"/>
  <c r="F47" i="16"/>
  <c r="F63" i="3"/>
  <c r="E63" i="3"/>
  <c r="F56" i="7"/>
  <c r="F53" i="8"/>
  <c r="E58" i="9"/>
  <c r="F58" i="9"/>
  <c r="E63" i="10"/>
  <c r="F57" i="11"/>
  <c r="E57" i="11"/>
  <c r="F53" i="16"/>
  <c r="F58" i="17"/>
  <c r="E58" i="17"/>
  <c r="F9" i="7"/>
  <c r="E32" i="11"/>
  <c r="F32" i="11"/>
  <c r="F32" i="7"/>
  <c r="E31" i="10"/>
  <c r="F31" i="10"/>
  <c r="F9" i="16"/>
  <c r="F11" i="14"/>
  <c r="E32" i="7"/>
  <c r="F31" i="5"/>
  <c r="F65" i="3"/>
  <c r="E10" i="12"/>
  <c r="F47" i="9"/>
  <c r="F47" i="12"/>
  <c r="F60" i="11"/>
  <c r="E62" i="18"/>
  <c r="D51" i="20"/>
  <c r="D73" i="23" s="1"/>
  <c r="E66" i="5"/>
  <c r="F52" i="3"/>
  <c r="F50" i="9"/>
  <c r="E57" i="6"/>
  <c r="F48" i="8"/>
  <c r="F66" i="14"/>
  <c r="E66" i="14"/>
  <c r="D48" i="20"/>
  <c r="F48" i="20" s="1"/>
  <c r="F7" i="14"/>
  <c r="F34" i="17"/>
  <c r="E28" i="14"/>
  <c r="E30" i="17"/>
  <c r="E23" i="17"/>
  <c r="F31" i="12"/>
  <c r="F7" i="3"/>
  <c r="E10" i="16"/>
  <c r="E54" i="17"/>
  <c r="F24" i="7"/>
  <c r="E70" i="12"/>
  <c r="E69" i="11"/>
  <c r="F69" i="11"/>
  <c r="E8" i="9"/>
  <c r="F29" i="12"/>
  <c r="F22" i="12"/>
  <c r="F28" i="17"/>
  <c r="F27" i="3"/>
  <c r="F18" i="14"/>
  <c r="E18" i="14"/>
  <c r="E27" i="5"/>
  <c r="F8" i="13"/>
  <c r="F47" i="14"/>
  <c r="E47" i="14"/>
  <c r="E66" i="6"/>
  <c r="F66" i="6"/>
  <c r="F55" i="8"/>
  <c r="E56" i="9"/>
  <c r="F52" i="9"/>
  <c r="E52" i="9"/>
  <c r="F50" i="13"/>
  <c r="F55" i="14"/>
  <c r="E55" i="14"/>
  <c r="E52" i="14"/>
  <c r="F52" i="14"/>
  <c r="E55" i="16"/>
  <c r="F55" i="16"/>
  <c r="F56" i="17"/>
  <c r="E56" i="17"/>
  <c r="F52" i="17"/>
  <c r="E52" i="17"/>
  <c r="F53" i="18"/>
  <c r="E53" i="18"/>
  <c r="E25" i="16"/>
  <c r="F20" i="16"/>
  <c r="E20" i="16"/>
  <c r="E18" i="17"/>
  <c r="F9" i="9"/>
  <c r="E9" i="9"/>
  <c r="D32" i="20"/>
  <c r="E32" i="20" s="1"/>
  <c r="F32" i="18"/>
  <c r="D9" i="20"/>
  <c r="E9" i="20" s="1"/>
  <c r="F11" i="7"/>
  <c r="E11" i="14"/>
  <c r="F65" i="10"/>
  <c r="F10" i="3"/>
  <c r="F12" i="3"/>
  <c r="E11" i="7"/>
  <c r="D28" i="20"/>
  <c r="D49" i="23" s="1"/>
  <c r="E9" i="16"/>
  <c r="E65" i="3"/>
  <c r="F60" i="14"/>
  <c r="F66" i="15"/>
  <c r="F57" i="14"/>
  <c r="F63" i="17"/>
  <c r="D56" i="20"/>
  <c r="F56" i="20" s="1"/>
  <c r="E48" i="8"/>
  <c r="E57" i="18"/>
  <c r="D30" i="20"/>
  <c r="E30" i="20" s="1"/>
  <c r="E7" i="13"/>
  <c r="E25" i="20"/>
  <c r="F18" i="5"/>
  <c r="E35" i="13"/>
  <c r="E29" i="12"/>
  <c r="F25" i="16"/>
  <c r="E30" i="13"/>
  <c r="E56" i="7"/>
  <c r="E55" i="18"/>
  <c r="E65" i="10"/>
  <c r="F63" i="15"/>
  <c r="E72" i="13"/>
  <c r="E68" i="15"/>
  <c r="F72" i="7"/>
  <c r="E72" i="7"/>
  <c r="E30" i="7"/>
  <c r="E29" i="10"/>
  <c r="F29" i="10"/>
  <c r="F17" i="10"/>
  <c r="D17" i="20"/>
  <c r="D38" i="23" s="1"/>
  <c r="F69" i="17"/>
  <c r="F69" i="16"/>
  <c r="E69" i="16"/>
  <c r="E71" i="15"/>
  <c r="E72" i="3"/>
  <c r="F72" i="3"/>
  <c r="E30" i="16"/>
  <c r="F12" i="16"/>
  <c r="E12" i="16"/>
  <c r="F71" i="13"/>
  <c r="E71" i="13"/>
  <c r="E69" i="8"/>
  <c r="E35" i="18"/>
  <c r="F52" i="11"/>
  <c r="F56" i="16"/>
  <c r="F24" i="5"/>
  <c r="F72" i="19"/>
  <c r="C61" i="23"/>
  <c r="D63" i="20"/>
  <c r="F63" i="20" s="1"/>
  <c r="E63" i="19"/>
  <c r="F62" i="20"/>
  <c r="E65" i="19"/>
  <c r="F64" i="20"/>
  <c r="D50" i="20"/>
  <c r="F50" i="20" s="1"/>
  <c r="F50" i="19"/>
  <c r="F31" i="19"/>
  <c r="D16" i="20"/>
  <c r="D57" i="20"/>
  <c r="D79" i="23" s="1"/>
  <c r="F47" i="19"/>
  <c r="F7" i="19"/>
  <c r="E50" i="19"/>
  <c r="D52" i="20"/>
  <c r="F52" i="20" s="1"/>
  <c r="F65" i="19"/>
  <c r="D35" i="20"/>
  <c r="D56" i="23" s="1"/>
  <c r="F29" i="19"/>
  <c r="F70" i="20"/>
  <c r="E72" i="19"/>
  <c r="D65" i="20"/>
  <c r="D87" i="23" s="1"/>
  <c r="F57" i="19"/>
  <c r="E57" i="19"/>
  <c r="E55" i="19"/>
  <c r="F52" i="19"/>
  <c r="F34" i="19"/>
  <c r="C56" i="23"/>
  <c r="C26" i="20"/>
  <c r="C6" i="20" s="1"/>
  <c r="D34" i="20"/>
  <c r="D55" i="23" s="1"/>
  <c r="D23" i="20"/>
  <c r="F23" i="20" s="1"/>
  <c r="F21" i="19"/>
  <c r="F23" i="19"/>
  <c r="D8" i="20"/>
  <c r="E8" i="20" s="1"/>
  <c r="C82" i="23"/>
  <c r="C59" i="20"/>
  <c r="F30" i="20"/>
  <c r="C51" i="23"/>
  <c r="F71" i="17"/>
  <c r="E71" i="17"/>
  <c r="E70" i="16"/>
  <c r="F72" i="12"/>
  <c r="E68" i="7"/>
  <c r="E68" i="5"/>
  <c r="E33" i="10"/>
  <c r="F19" i="10"/>
  <c r="D21" i="20"/>
  <c r="F21" i="20" s="1"/>
  <c r="E21" i="17"/>
  <c r="F31" i="3"/>
  <c r="E31" i="3"/>
  <c r="E58" i="22"/>
  <c r="D27" i="20"/>
  <c r="D48" i="23" s="1"/>
  <c r="C77" i="23"/>
  <c r="E28" i="13"/>
  <c r="E33" i="12"/>
  <c r="E70" i="6"/>
  <c r="F13" i="12"/>
  <c r="E24" i="19"/>
  <c r="F24" i="19"/>
  <c r="E11" i="16"/>
  <c r="F9" i="5"/>
  <c r="E32" i="9"/>
  <c r="E32" i="3"/>
  <c r="F32" i="3"/>
  <c r="F31" i="17"/>
  <c r="E31" i="17"/>
  <c r="E31" i="8"/>
  <c r="E31" i="6"/>
  <c r="F61" i="22"/>
  <c r="F57" i="22"/>
  <c r="E57" i="22"/>
  <c r="E10" i="7"/>
  <c r="F11" i="16"/>
  <c r="E11" i="3"/>
  <c r="F34" i="5"/>
  <c r="E29" i="7"/>
  <c r="F11" i="12"/>
  <c r="F28" i="13"/>
  <c r="D68" i="20"/>
  <c r="F71" i="11"/>
  <c r="E71" i="11"/>
  <c r="E70" i="8"/>
  <c r="F71" i="7"/>
  <c r="E71" i="7"/>
  <c r="E69" i="7"/>
  <c r="F69" i="7"/>
  <c r="E69" i="6"/>
  <c r="F69" i="6"/>
  <c r="E63" i="22"/>
  <c r="F63" i="22"/>
  <c r="E54" i="22"/>
  <c r="E31" i="12"/>
  <c r="F60" i="19"/>
  <c r="E60" i="19"/>
  <c r="D55" i="20"/>
  <c r="D77" i="23" s="1"/>
  <c r="F66" i="3"/>
  <c r="E66" i="3"/>
  <c r="E61" i="3"/>
  <c r="F61" i="3"/>
  <c r="E54" i="3"/>
  <c r="F50" i="3"/>
  <c r="E61" i="5"/>
  <c r="F61" i="5"/>
  <c r="F56" i="5"/>
  <c r="E53" i="5"/>
  <c r="F48" i="5"/>
  <c r="E60" i="6"/>
  <c r="F60" i="6"/>
  <c r="E55" i="6"/>
  <c r="F55" i="6"/>
  <c r="E52" i="6"/>
  <c r="E66" i="7"/>
  <c r="E62" i="7"/>
  <c r="E54" i="7"/>
  <c r="F51" i="7"/>
  <c r="E51" i="7"/>
  <c r="F65" i="9"/>
  <c r="F61" i="9"/>
  <c r="E53" i="10"/>
  <c r="E48" i="10"/>
  <c r="E53" i="11"/>
  <c r="E58" i="12"/>
  <c r="F58" i="12"/>
  <c r="E64" i="13"/>
  <c r="F60" i="16"/>
  <c r="E19" i="19"/>
  <c r="F19" i="19"/>
  <c r="E34" i="22"/>
  <c r="F30" i="22"/>
  <c r="E30" i="22"/>
  <c r="F72" i="16"/>
  <c r="E72" i="16"/>
  <c r="E68" i="16"/>
  <c r="E27" i="10"/>
  <c r="E8" i="12"/>
  <c r="F8" i="12"/>
  <c r="E20" i="19"/>
  <c r="E31" i="9"/>
  <c r="F34" i="10"/>
  <c r="E34" i="10"/>
  <c r="C49" i="20"/>
  <c r="E19" i="10"/>
  <c r="D72" i="20"/>
  <c r="E71" i="22"/>
  <c r="D40" i="20"/>
  <c r="E40" i="20" s="1"/>
  <c r="E62" i="13"/>
  <c r="E9" i="5"/>
  <c r="D13" i="20"/>
  <c r="E13" i="20" s="1"/>
  <c r="D29" i="20"/>
  <c r="D19" i="20"/>
  <c r="F19" i="20" s="1"/>
  <c r="D24" i="20"/>
  <c r="F21" i="17"/>
  <c r="E61" i="22"/>
  <c r="D7" i="20"/>
  <c r="D20" i="20"/>
  <c r="D41" i="23" s="1"/>
  <c r="E71" i="14"/>
  <c r="D70" i="20"/>
  <c r="D93" i="23" s="1"/>
  <c r="E70" i="14"/>
  <c r="F8" i="3"/>
  <c r="E8" i="3"/>
  <c r="E32" i="13"/>
  <c r="F7" i="10"/>
  <c r="E22" i="19"/>
  <c r="D22" i="20"/>
  <c r="E22" i="20" s="1"/>
  <c r="E29" i="17"/>
  <c r="F29" i="17"/>
  <c r="E24" i="17"/>
  <c r="F19" i="17"/>
  <c r="E19" i="17"/>
  <c r="F28" i="11"/>
  <c r="E28" i="11"/>
  <c r="E33" i="14"/>
  <c r="D33" i="20"/>
  <c r="F33" i="20" s="1"/>
  <c r="E35" i="22"/>
  <c r="C67" i="20"/>
  <c r="F54" i="20"/>
  <c r="C76" i="23"/>
  <c r="E72" i="15"/>
  <c r="F72" i="15"/>
  <c r="E68" i="11"/>
  <c r="E68" i="8"/>
  <c r="F68" i="8"/>
  <c r="F67" i="8"/>
  <c r="E41" i="7"/>
  <c r="E53" i="22"/>
  <c r="E50" i="22"/>
  <c r="F50" i="22"/>
  <c r="F25" i="12"/>
  <c r="E25" i="10"/>
  <c r="E18" i="10"/>
  <c r="F18" i="10"/>
  <c r="F47" i="15"/>
  <c r="F66" i="19"/>
  <c r="F58" i="19"/>
  <c r="E58" i="19"/>
  <c r="F60" i="10"/>
  <c r="F66" i="11"/>
  <c r="E66" i="11"/>
  <c r="E64" i="11"/>
  <c r="E50" i="14"/>
  <c r="D18" i="20"/>
  <c r="E21" i="22"/>
  <c r="F69" i="13"/>
  <c r="F72" i="8"/>
  <c r="F72" i="6"/>
  <c r="E68" i="6"/>
  <c r="E70" i="3"/>
  <c r="E22" i="3"/>
  <c r="F22" i="3"/>
  <c r="F20" i="17"/>
  <c r="F66" i="22"/>
  <c r="D67" i="19"/>
  <c r="E33" i="19"/>
  <c r="E71" i="6"/>
  <c r="F71" i="6"/>
  <c r="F25" i="14"/>
  <c r="D71" i="20"/>
  <c r="D94" i="23" s="1"/>
  <c r="E59" i="15"/>
  <c r="D49" i="19"/>
  <c r="E49" i="7"/>
  <c r="E59" i="9"/>
  <c r="D59" i="19"/>
  <c r="E13" i="23"/>
  <c r="D12" i="23"/>
  <c r="F12" i="23" s="1"/>
  <c r="D9" i="23"/>
  <c r="D15" i="23"/>
  <c r="E17" i="23"/>
  <c r="E26" i="23"/>
  <c r="F16" i="23"/>
  <c r="E27" i="22"/>
  <c r="E22" i="22"/>
  <c r="E70" i="15"/>
  <c r="E69" i="15"/>
  <c r="F72" i="13"/>
  <c r="E72" i="12"/>
  <c r="E28" i="22"/>
  <c r="E23" i="22"/>
  <c r="E19" i="22"/>
  <c r="E70" i="18"/>
  <c r="F69" i="15"/>
  <c r="E72" i="6"/>
  <c r="F68" i="5"/>
  <c r="E18" i="19"/>
  <c r="D31" i="20"/>
  <c r="E27" i="19"/>
  <c r="E8" i="19"/>
  <c r="E10" i="11"/>
  <c r="E27" i="13"/>
  <c r="E59" i="13"/>
  <c r="F41" i="19"/>
  <c r="C45" i="20" l="1"/>
  <c r="F47" i="20"/>
  <c r="F40" i="20"/>
  <c r="E16" i="20"/>
  <c r="D37" i="23"/>
  <c r="E37" i="23" s="1"/>
  <c r="E48" i="20"/>
  <c r="F16" i="20"/>
  <c r="D100" i="23"/>
  <c r="F100" i="23" s="1"/>
  <c r="D19" i="23"/>
  <c r="E6" i="23"/>
  <c r="F86" i="23"/>
  <c r="F67" i="19"/>
  <c r="E84" i="23"/>
  <c r="E41" i="23"/>
  <c r="F75" i="23"/>
  <c r="F48" i="23"/>
  <c r="E7" i="20"/>
  <c r="F87" i="23"/>
  <c r="E73" i="23"/>
  <c r="E49" i="23"/>
  <c r="F88" i="23"/>
  <c r="F76" i="23"/>
  <c r="F84" i="23"/>
  <c r="E57" i="23"/>
  <c r="F57" i="23"/>
  <c r="F68" i="20"/>
  <c r="D91" i="23"/>
  <c r="F91" i="23" s="1"/>
  <c r="D92" i="23"/>
  <c r="F92" i="23" s="1"/>
  <c r="F35" i="20"/>
  <c r="F6" i="23"/>
  <c r="E9" i="23"/>
  <c r="E6" i="9"/>
  <c r="E67" i="9"/>
  <c r="E67" i="16"/>
  <c r="E10" i="20"/>
  <c r="F58" i="20"/>
  <c r="F67" i="9"/>
  <c r="E67" i="15"/>
  <c r="F10" i="20"/>
  <c r="F67" i="16"/>
  <c r="F67" i="18"/>
  <c r="F67" i="15"/>
  <c r="F95" i="23"/>
  <c r="F11" i="20"/>
  <c r="F61" i="20"/>
  <c r="E12" i="23"/>
  <c r="D83" i="23"/>
  <c r="F83" i="23" s="1"/>
  <c r="E86" i="23"/>
  <c r="E12" i="20"/>
  <c r="D53" i="23"/>
  <c r="E53" i="23" s="1"/>
  <c r="F28" i="20"/>
  <c r="F60" i="20"/>
  <c r="F69" i="20"/>
  <c r="E75" i="23"/>
  <c r="E11" i="20"/>
  <c r="D76" i="23"/>
  <c r="E76" i="23" s="1"/>
  <c r="E41" i="20"/>
  <c r="E64" i="20"/>
  <c r="D62" i="23"/>
  <c r="E62" i="23" s="1"/>
  <c r="F12" i="20"/>
  <c r="E17" i="20"/>
  <c r="E82" i="23"/>
  <c r="E69" i="20"/>
  <c r="E60" i="20"/>
  <c r="F17" i="20"/>
  <c r="E53" i="20"/>
  <c r="D80" i="23"/>
  <c r="E80" i="23" s="1"/>
  <c r="E66" i="20"/>
  <c r="F66" i="20"/>
  <c r="D46" i="23"/>
  <c r="F46" i="23" s="1"/>
  <c r="E62" i="20"/>
  <c r="F20" i="20"/>
  <c r="F53" i="20"/>
  <c r="E21" i="20"/>
  <c r="E51" i="20"/>
  <c r="E56" i="20"/>
  <c r="F41" i="23"/>
  <c r="F73" i="23"/>
  <c r="F9" i="20"/>
  <c r="E67" i="18"/>
  <c r="D51" i="23"/>
  <c r="F51" i="23" s="1"/>
  <c r="F32" i="20"/>
  <c r="F49" i="23"/>
  <c r="E65" i="20"/>
  <c r="E26" i="5"/>
  <c r="F26" i="5"/>
  <c r="E26" i="9"/>
  <c r="E20" i="20"/>
  <c r="F25" i="20"/>
  <c r="F67" i="10"/>
  <c r="D72" i="23"/>
  <c r="E72" i="23" s="1"/>
  <c r="D85" i="23"/>
  <c r="E50" i="20"/>
  <c r="D69" i="23"/>
  <c r="E69" i="23" s="1"/>
  <c r="D78" i="23"/>
  <c r="E78" i="23" s="1"/>
  <c r="E28" i="20"/>
  <c r="E26" i="16"/>
  <c r="F26" i="16"/>
  <c r="F67" i="13"/>
  <c r="E67" i="13"/>
  <c r="D70" i="23"/>
  <c r="E45" i="5"/>
  <c r="F51" i="20"/>
  <c r="F56" i="23"/>
  <c r="F26" i="9"/>
  <c r="F27" i="20"/>
  <c r="D61" i="23"/>
  <c r="E61" i="23" s="1"/>
  <c r="E63" i="20"/>
  <c r="E35" i="20"/>
  <c r="F65" i="20"/>
  <c r="D59" i="20"/>
  <c r="F59" i="20" s="1"/>
  <c r="E48" i="23"/>
  <c r="F22" i="20"/>
  <c r="E56" i="23"/>
  <c r="C47" i="23"/>
  <c r="E52" i="20"/>
  <c r="D74" i="23"/>
  <c r="D43" i="23"/>
  <c r="E43" i="23" s="1"/>
  <c r="E87" i="23"/>
  <c r="F57" i="20"/>
  <c r="E57" i="20"/>
  <c r="F82" i="23"/>
  <c r="E77" i="23"/>
  <c r="F34" i="20"/>
  <c r="E34" i="20"/>
  <c r="E27" i="20"/>
  <c r="D44" i="23"/>
  <c r="F13" i="20"/>
  <c r="E23" i="20"/>
  <c r="E18" i="20"/>
  <c r="D42" i="23"/>
  <c r="F42" i="23" s="1"/>
  <c r="F8" i="20"/>
  <c r="E6" i="10"/>
  <c r="F6" i="10"/>
  <c r="F6" i="12"/>
  <c r="E6" i="12"/>
  <c r="E59" i="10"/>
  <c r="F59" i="10"/>
  <c r="E26" i="3"/>
  <c r="F26" i="3"/>
  <c r="E26" i="8"/>
  <c r="F26" i="8"/>
  <c r="F6" i="8"/>
  <c r="C90" i="23"/>
  <c r="D54" i="23"/>
  <c r="E33" i="20"/>
  <c r="D98" i="23"/>
  <c r="F72" i="20"/>
  <c r="E72" i="20"/>
  <c r="F49" i="22"/>
  <c r="E26" i="7"/>
  <c r="F26" i="7"/>
  <c r="F49" i="15"/>
  <c r="E49" i="15"/>
  <c r="F26" i="18"/>
  <c r="E26" i="18"/>
  <c r="F26" i="11"/>
  <c r="E26" i="11"/>
  <c r="F67" i="12"/>
  <c r="E67" i="12"/>
  <c r="E59" i="6"/>
  <c r="F59" i="6"/>
  <c r="E59" i="3"/>
  <c r="F59" i="3"/>
  <c r="F67" i="6"/>
  <c r="E67" i="6"/>
  <c r="C81" i="23"/>
  <c r="D40" i="23"/>
  <c r="D46" i="19"/>
  <c r="D46" i="20" s="1"/>
  <c r="E49" i="19"/>
  <c r="F49" i="19"/>
  <c r="F59" i="15"/>
  <c r="F71" i="20"/>
  <c r="E71" i="20"/>
  <c r="E49" i="9"/>
  <c r="F49" i="9"/>
  <c r="E67" i="19"/>
  <c r="E59" i="11"/>
  <c r="F59" i="11"/>
  <c r="E67" i="8"/>
  <c r="F59" i="5"/>
  <c r="E59" i="5"/>
  <c r="F77" i="23"/>
  <c r="E68" i="20"/>
  <c r="E55" i="20"/>
  <c r="F67" i="17"/>
  <c r="E67" i="17"/>
  <c r="D49" i="20"/>
  <c r="E49" i="20" s="1"/>
  <c r="F49" i="7"/>
  <c r="F49" i="11"/>
  <c r="F67" i="11"/>
  <c r="E67" i="22"/>
  <c r="F67" i="22"/>
  <c r="D50" i="23"/>
  <c r="E29" i="20"/>
  <c r="F49" i="3"/>
  <c r="E49" i="3"/>
  <c r="F29" i="20"/>
  <c r="E59" i="19"/>
  <c r="F59" i="19"/>
  <c r="F59" i="7"/>
  <c r="E59" i="7"/>
  <c r="F49" i="14"/>
  <c r="E49" i="14"/>
  <c r="E70" i="20"/>
  <c r="E49" i="11"/>
  <c r="D67" i="20"/>
  <c r="F67" i="20" s="1"/>
  <c r="E88" i="23"/>
  <c r="E19" i="20"/>
  <c r="F18" i="20"/>
  <c r="F59" i="9"/>
  <c r="F26" i="12"/>
  <c r="E26" i="12"/>
  <c r="E59" i="12"/>
  <c r="F59" i="12"/>
  <c r="F67" i="3"/>
  <c r="E67" i="3"/>
  <c r="E67" i="11"/>
  <c r="E45" i="16"/>
  <c r="F67" i="14"/>
  <c r="E67" i="14"/>
  <c r="E67" i="5"/>
  <c r="F67" i="5"/>
  <c r="F7" i="20"/>
  <c r="F79" i="23"/>
  <c r="E79" i="23"/>
  <c r="E24" i="20"/>
  <c r="D45" i="23"/>
  <c r="F24" i="20"/>
  <c r="C46" i="20"/>
  <c r="F26" i="10"/>
  <c r="E26" i="10"/>
  <c r="C71" i="23"/>
  <c r="E67" i="7"/>
  <c r="F67" i="7"/>
  <c r="F55" i="20"/>
  <c r="F6" i="9"/>
  <c r="E15" i="23"/>
  <c r="F15" i="23"/>
  <c r="E55" i="23"/>
  <c r="F55" i="23"/>
  <c r="E49" i="18"/>
  <c r="F49" i="18"/>
  <c r="F49" i="13"/>
  <c r="E49" i="13"/>
  <c r="F49" i="12"/>
  <c r="E49" i="12"/>
  <c r="E59" i="16"/>
  <c r="F59" i="16"/>
  <c r="F49" i="10"/>
  <c r="E49" i="10"/>
  <c r="F26" i="17"/>
  <c r="E26" i="17"/>
  <c r="F59" i="8"/>
  <c r="E59" i="8"/>
  <c r="E26" i="15"/>
  <c r="F26" i="15"/>
  <c r="F49" i="8"/>
  <c r="E49" i="8"/>
  <c r="F59" i="13"/>
  <c r="F26" i="13"/>
  <c r="F49" i="6"/>
  <c r="E49" i="6"/>
  <c r="F26" i="19"/>
  <c r="D26" i="20"/>
  <c r="D6" i="20" s="1"/>
  <c r="D52" i="23"/>
  <c r="F31" i="20"/>
  <c r="E31" i="20"/>
  <c r="F26" i="6"/>
  <c r="E26" i="6"/>
  <c r="E59" i="18"/>
  <c r="F59" i="18"/>
  <c r="F26" i="14"/>
  <c r="E26" i="14"/>
  <c r="F49" i="16"/>
  <c r="E49" i="16"/>
  <c r="F59" i="17"/>
  <c r="E59" i="17"/>
  <c r="F49" i="5"/>
  <c r="E49" i="5"/>
  <c r="F59" i="14"/>
  <c r="E59" i="14"/>
  <c r="E49" i="17"/>
  <c r="F49" i="17"/>
  <c r="D45" i="20" l="1"/>
  <c r="F45" i="20" s="1"/>
  <c r="F45" i="19"/>
  <c r="F61" i="23"/>
  <c r="E46" i="20"/>
  <c r="F46" i="20"/>
  <c r="C66" i="23"/>
  <c r="E54" i="23"/>
  <c r="F54" i="23"/>
  <c r="E92" i="23"/>
  <c r="E83" i="23"/>
  <c r="F6" i="5"/>
  <c r="E6" i="5"/>
  <c r="E100" i="23"/>
  <c r="F53" i="23"/>
  <c r="E46" i="23"/>
  <c r="F62" i="23"/>
  <c r="E45" i="8"/>
  <c r="F72" i="23"/>
  <c r="F80" i="23"/>
  <c r="E51" i="23"/>
  <c r="C68" i="23"/>
  <c r="F69" i="23"/>
  <c r="E85" i="23"/>
  <c r="F85" i="23"/>
  <c r="D71" i="23"/>
  <c r="F71" i="23" s="1"/>
  <c r="D81" i="23"/>
  <c r="E81" i="23" s="1"/>
  <c r="E6" i="16"/>
  <c r="F6" i="16"/>
  <c r="E70" i="23"/>
  <c r="F70" i="23"/>
  <c r="F78" i="23"/>
  <c r="E45" i="9"/>
  <c r="E59" i="20"/>
  <c r="E42" i="23"/>
  <c r="F43" i="23"/>
  <c r="F74" i="23"/>
  <c r="E74" i="23"/>
  <c r="E67" i="20"/>
  <c r="F49" i="20"/>
  <c r="E44" i="23"/>
  <c r="F44" i="23"/>
  <c r="E45" i="3"/>
  <c r="E45" i="10"/>
  <c r="E46" i="7"/>
  <c r="F46" i="7"/>
  <c r="F46" i="9"/>
  <c r="E46" i="9"/>
  <c r="F94" i="23"/>
  <c r="E94" i="23"/>
  <c r="E40" i="23"/>
  <c r="F40" i="23"/>
  <c r="E45" i="11"/>
  <c r="D90" i="23"/>
  <c r="F90" i="23" s="1"/>
  <c r="F93" i="23"/>
  <c r="E93" i="23"/>
  <c r="E45" i="18"/>
  <c r="F46" i="15"/>
  <c r="E46" i="15"/>
  <c r="E6" i="7"/>
  <c r="F6" i="7"/>
  <c r="F98" i="23"/>
  <c r="E98" i="23"/>
  <c r="E91" i="23"/>
  <c r="E45" i="12"/>
  <c r="E50" i="23"/>
  <c r="F50" i="23"/>
  <c r="F46" i="11"/>
  <c r="E46" i="11"/>
  <c r="E45" i="7"/>
  <c r="E6" i="8"/>
  <c r="F45" i="23"/>
  <c r="E45" i="23"/>
  <c r="F6" i="18"/>
  <c r="E6" i="18"/>
  <c r="F46" i="3"/>
  <c r="E46" i="3"/>
  <c r="F46" i="19"/>
  <c r="E46" i="19"/>
  <c r="E6" i="11"/>
  <c r="F6" i="11"/>
  <c r="E6" i="3"/>
  <c r="F6" i="3"/>
  <c r="F19" i="23"/>
  <c r="E19" i="23"/>
  <c r="E46" i="14"/>
  <c r="F46" i="14"/>
  <c r="E45" i="14"/>
  <c r="F52" i="23"/>
  <c r="E52" i="23"/>
  <c r="F6" i="13"/>
  <c r="E6" i="13"/>
  <c r="E6" i="6"/>
  <c r="F6" i="6"/>
  <c r="E45" i="6"/>
  <c r="D47" i="23"/>
  <c r="E26" i="20"/>
  <c r="F26" i="20"/>
  <c r="F6" i="17"/>
  <c r="E6" i="17"/>
  <c r="F46" i="12"/>
  <c r="E46" i="12"/>
  <c r="E46" i="13"/>
  <c r="F46" i="13"/>
  <c r="E46" i="18"/>
  <c r="F46" i="18"/>
  <c r="F46" i="17"/>
  <c r="E46" i="17"/>
  <c r="F46" i="5"/>
  <c r="E46" i="5"/>
  <c r="F46" i="16"/>
  <c r="E46" i="16"/>
  <c r="F6" i="19"/>
  <c r="E6" i="19"/>
  <c r="F46" i="6"/>
  <c r="E46" i="6"/>
  <c r="F6" i="15"/>
  <c r="E6" i="15"/>
  <c r="F6" i="14"/>
  <c r="E6" i="14"/>
  <c r="E45" i="19"/>
  <c r="E45" i="13"/>
  <c r="E46" i="8"/>
  <c r="F46" i="8"/>
  <c r="E45" i="15"/>
  <c r="E45" i="17"/>
  <c r="E46" i="10"/>
  <c r="F46" i="10"/>
  <c r="E45" i="20" l="1"/>
  <c r="D68" i="23"/>
  <c r="F68" i="23" s="1"/>
  <c r="E71" i="23"/>
  <c r="F81" i="23"/>
  <c r="E90" i="23"/>
  <c r="F6" i="20"/>
  <c r="E6" i="20"/>
  <c r="E47" i="23"/>
  <c r="F47" i="23"/>
  <c r="E68" i="23" l="1"/>
  <c r="F11" i="22" l="1"/>
  <c r="F8" i="22"/>
  <c r="F18" i="22"/>
  <c r="F13" i="22"/>
  <c r="C29" i="23"/>
  <c r="C34" i="23"/>
  <c r="C38" i="23"/>
  <c r="F17" i="22"/>
  <c r="C33" i="23"/>
  <c r="F12" i="22"/>
  <c r="F9" i="22"/>
  <c r="F7" i="22"/>
  <c r="F10" i="22"/>
  <c r="C31" i="23"/>
  <c r="E8" i="22"/>
  <c r="C30" i="23"/>
  <c r="E9" i="22"/>
  <c r="C32" i="23"/>
  <c r="C39" i="23"/>
  <c r="E10" i="22"/>
  <c r="E12" i="22"/>
  <c r="C28" i="23"/>
  <c r="E11" i="22"/>
  <c r="D39" i="23"/>
  <c r="E13" i="22"/>
  <c r="E17" i="22"/>
  <c r="C27" i="23" l="1"/>
  <c r="D31" i="23"/>
  <c r="F31" i="23" s="1"/>
  <c r="D29" i="23"/>
  <c r="E29" i="23" s="1"/>
  <c r="E7" i="22"/>
  <c r="E18" i="22"/>
  <c r="D34" i="23"/>
  <c r="E34" i="23" s="1"/>
  <c r="F37" i="23"/>
  <c r="D28" i="23"/>
  <c r="E39" i="23"/>
  <c r="F39" i="23"/>
  <c r="D30" i="23"/>
  <c r="E30" i="23" s="1"/>
  <c r="D33" i="23"/>
  <c r="E33" i="23" s="1"/>
  <c r="D32" i="23"/>
  <c r="F32" i="23" s="1"/>
  <c r="E38" i="23"/>
  <c r="D27" i="23" l="1"/>
  <c r="D25" i="23" s="1"/>
  <c r="C25" i="23"/>
  <c r="C101" i="23"/>
  <c r="F28" i="23"/>
  <c r="E28" i="23"/>
  <c r="F29" i="23"/>
  <c r="E31" i="23"/>
  <c r="D66" i="23"/>
  <c r="F66" i="23" s="1"/>
  <c r="F34" i="23"/>
  <c r="F30" i="23"/>
  <c r="E6" i="22"/>
  <c r="E32" i="23"/>
  <c r="F38" i="23"/>
  <c r="F6" i="22"/>
  <c r="F33" i="23"/>
  <c r="D101" i="23" l="1"/>
  <c r="D67" i="23"/>
  <c r="D99" i="23" s="1"/>
  <c r="C67" i="23"/>
  <c r="C99" i="23" s="1"/>
  <c r="E66" i="23"/>
  <c r="F27" i="23"/>
  <c r="E27" i="23"/>
  <c r="E25" i="23" l="1"/>
  <c r="F25" i="23"/>
  <c r="F101" i="23"/>
  <c r="E101" i="23"/>
  <c r="F67" i="23" l="1"/>
  <c r="E67" i="23"/>
  <c r="E99" i="23" l="1"/>
  <c r="F99" i="23"/>
</calcChain>
</file>

<file path=xl/sharedStrings.xml><?xml version="1.0" encoding="utf-8"?>
<sst xmlns="http://schemas.openxmlformats.org/spreadsheetml/2006/main" count="2770" uniqueCount="217">
  <si>
    <t>B2</t>
  </si>
  <si>
    <t>B2.1</t>
  </si>
  <si>
    <t>B2.2</t>
  </si>
  <si>
    <t>B2.3</t>
  </si>
  <si>
    <t>B2.4</t>
  </si>
  <si>
    <t>B2.5</t>
  </si>
  <si>
    <t>B2.6</t>
  </si>
  <si>
    <t>B2.7</t>
  </si>
  <si>
    <t>B2.8</t>
  </si>
  <si>
    <t>B2.9</t>
  </si>
  <si>
    <t>B2.10</t>
  </si>
  <si>
    <t>B2.11</t>
  </si>
  <si>
    <t>B2.12</t>
  </si>
  <si>
    <t>B2.13</t>
  </si>
  <si>
    <t>B2.14</t>
  </si>
  <si>
    <t>B2.15</t>
  </si>
  <si>
    <t>D1</t>
  </si>
  <si>
    <t>zużycie materiałów i energii</t>
  </si>
  <si>
    <t>D2</t>
  </si>
  <si>
    <t>usługi obce</t>
  </si>
  <si>
    <t>D3</t>
  </si>
  <si>
    <t>D4</t>
  </si>
  <si>
    <t>D5</t>
  </si>
  <si>
    <t>D6</t>
  </si>
  <si>
    <t>koszty funkcjonowania Rady Funduszu</t>
  </si>
  <si>
    <t>D7</t>
  </si>
  <si>
    <t>D8</t>
  </si>
  <si>
    <t>pozostałe koszty administracyjne</t>
  </si>
  <si>
    <t>F2</t>
  </si>
  <si>
    <t>F3</t>
  </si>
  <si>
    <t>podatki stanowiące dochody własne jednostek samorządu terytorialnego, w tym:</t>
  </si>
  <si>
    <t>podatek od nieruchomości</t>
  </si>
  <si>
    <t>opłaty stanowiące dochody własne jednostek samorządu terytorialnego</t>
  </si>
  <si>
    <t>VAT</t>
  </si>
  <si>
    <t>podatek akcyzowy</t>
  </si>
  <si>
    <t>wpłaty na PFRON</t>
  </si>
  <si>
    <t>inne</t>
  </si>
  <si>
    <t>D3.1</t>
  </si>
  <si>
    <t>D3.1.1</t>
  </si>
  <si>
    <t>D3.2</t>
  </si>
  <si>
    <t>D3.3</t>
  </si>
  <si>
    <t>D3.4</t>
  </si>
  <si>
    <t>D3.5</t>
  </si>
  <si>
    <t>D3.6</t>
  </si>
  <si>
    <t>składki na Fundusz Ubezpieczeń Społecznych</t>
  </si>
  <si>
    <t>składki na Fundusz Pracy</t>
  </si>
  <si>
    <t>składki na Fundusz Gwarantowanych Świadczeń Pracowniczych</t>
  </si>
  <si>
    <t>pozostałe świadczenia</t>
  </si>
  <si>
    <t>D5.1</t>
  </si>
  <si>
    <t>D5.2</t>
  </si>
  <si>
    <t>D5.3</t>
  </si>
  <si>
    <t>D5.4</t>
  </si>
  <si>
    <t>Wyszczególnienie</t>
  </si>
  <si>
    <t>rezerwa na zobowiązania wynikające z postępowań sądowych</t>
  </si>
  <si>
    <t>B2.3.1</t>
  </si>
  <si>
    <t>B4</t>
  </si>
  <si>
    <t>B3</t>
  </si>
  <si>
    <t xml:space="preserve">Koszty programów polityki zdrowotnej realizowanych na zlecenie </t>
  </si>
  <si>
    <t>Koszty realizacji zadań zespołów ratownictwa medycznego</t>
  </si>
  <si>
    <t xml:space="preserve">Koszty Dolnośląskiego Oddziału Wojewódzkiego Narodowego Funduszu Zdrowia </t>
  </si>
  <si>
    <t>Koszty Kujawsko-Pomorskiego Oddziału Wojewódzkiego Narodowego Funduszu Zdrowia</t>
  </si>
  <si>
    <t>Koszty Lubelskiego Oddziału Wojewódzkiego Narodowego Funduszu Zdrowia</t>
  </si>
  <si>
    <t>Koszty Lubuskiego Oddziału Wojewódzkiego Narodowego Funduszu Zdrowia</t>
  </si>
  <si>
    <t>Koszty Łódzkiego Oddziału Wojewódzkiego Narodowego Funduszu Zdrowia</t>
  </si>
  <si>
    <t>Koszty Małopolskiego Oddziału Wojewódzkiego Narodowego Funduszu Zdrowia</t>
  </si>
  <si>
    <t>Koszty Mazowieckiego Oddziału Wojewódzkiego Narodowego Funduszu Zdrowia</t>
  </si>
  <si>
    <t>Koszty Opolskiego Oddziału Wojewódzkiego Narodowego Funduszu Zdrowia</t>
  </si>
  <si>
    <t>Koszty Podkarpackiego Oddziału Wojewódzkiego Narodowego Funduszu Zdrowia</t>
  </si>
  <si>
    <t>Koszty Podlaskiego Oddziału Wojewódzkiego Narodowego Funduszu Zdrowia</t>
  </si>
  <si>
    <t>Koszty Pomorskiego Oddziału Wojewódzkiego Narodowego Funduszu Zdrowia</t>
  </si>
  <si>
    <t>Koszty Śląskiego Oddziału Wojewódzkiego Narodowego Funduszu Zdrowia</t>
  </si>
  <si>
    <t>Koszty Świętokrzyskiego Oddziału Wojewódzkiego Narodowego Funduszu Zdrowia</t>
  </si>
  <si>
    <t>Koszty Warmińsko-Mazurskiego Oddziału Wojewódzkiego Narodowego Funduszu Zdrowia</t>
  </si>
  <si>
    <t>Koszty Wielkopolskiego Oddziału Wojewódzkiego Narodowego Funduszu Zdrowia</t>
  </si>
  <si>
    <t>Koszty Zachodniopomorskiego Oddziału Wojewódzkiego Narodowego Funduszu Zdrowia</t>
  </si>
  <si>
    <t>1.1</t>
  </si>
  <si>
    <t>od ZUS</t>
  </si>
  <si>
    <t>1.2</t>
  </si>
  <si>
    <t>od KRUS</t>
  </si>
  <si>
    <t>2.1</t>
  </si>
  <si>
    <t>w stosunku do ZUS</t>
  </si>
  <si>
    <t>2.2</t>
  </si>
  <si>
    <t>w stosunku do KRUS</t>
  </si>
  <si>
    <t>3.1</t>
  </si>
  <si>
    <t>3.2</t>
  </si>
  <si>
    <t>4.1</t>
  </si>
  <si>
    <t>koszty poboru i ewidencjonowania składek przez ZUS</t>
  </si>
  <si>
    <t>4.2</t>
  </si>
  <si>
    <t>koszty poboru i ewidencjonowania składek przez KRUS</t>
  </si>
  <si>
    <t>A1</t>
  </si>
  <si>
    <t>przychody wynikające z przepisów o koordynacji</t>
  </si>
  <si>
    <t>A2</t>
  </si>
  <si>
    <t>przychody z tytułu realizacji zadań zleconych</t>
  </si>
  <si>
    <t>A3</t>
  </si>
  <si>
    <t>A4</t>
  </si>
  <si>
    <t>dotacja z budżetu państwa na realizację zadań zespołów ratownictwa medycznego</t>
  </si>
  <si>
    <t>B1</t>
  </si>
  <si>
    <t>Obowiazkowy odpis na rezerwę ogólną</t>
  </si>
  <si>
    <t>Koszty programów polityki zdrowotnej realizowanych na zlecenie</t>
  </si>
  <si>
    <t>F1</t>
  </si>
  <si>
    <t>F4</t>
  </si>
  <si>
    <t>inne rezerwy</t>
  </si>
  <si>
    <t>inne koszty</t>
  </si>
  <si>
    <t>G1</t>
  </si>
  <si>
    <t xml:space="preserve">odsetki uzyskane z lokat </t>
  </si>
  <si>
    <t>G2</t>
  </si>
  <si>
    <t>inne przychody finansowe</t>
  </si>
  <si>
    <t>B2.16</t>
  </si>
  <si>
    <t>B2.17</t>
  </si>
  <si>
    <t>B2.18</t>
  </si>
  <si>
    <t>rezerwa na koszty realizacji zadań wynikajacych z przepisów o koordynacji</t>
  </si>
  <si>
    <t>rezerwa na koszty świadczeń opieki zdrowotnej w ramach migracji ubezpieczonych</t>
  </si>
  <si>
    <t>Koszty finansowe</t>
  </si>
  <si>
    <t>leczenie szpitalne, w tym:</t>
  </si>
  <si>
    <t>Poz.</t>
  </si>
  <si>
    <t>podstawowa opieka zdrowotna</t>
  </si>
  <si>
    <t>ambulatoryjna opieka specjalistyczna</t>
  </si>
  <si>
    <t>rehabilitacja lecznicza</t>
  </si>
  <si>
    <t>leczenie stomatologiczne</t>
  </si>
  <si>
    <t>lecznictwo uzdrowiskowe</t>
  </si>
  <si>
    <t>koszty profilaktycznych programów zdrowotnych finansowanych ze środków własnych Funduszu</t>
  </si>
  <si>
    <t>opieka psychiatryczna i leczenie uzależnień</t>
  </si>
  <si>
    <t>opieka paliatywna i hospicyjna</t>
  </si>
  <si>
    <t>świadczenia pielęgnacyjne i opiekuńcze w ramach opieki długoterminowej</t>
  </si>
  <si>
    <t>pomoc doraźna i transport sanitarny</t>
  </si>
  <si>
    <t>B2.14.1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</si>
  <si>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</si>
  <si>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</si>
  <si>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</si>
  <si>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</si>
  <si>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</si>
  <si>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</si>
  <si>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</si>
  <si>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</si>
  <si>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</si>
  <si>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</si>
  <si>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</si>
  <si>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w tys. zł</t>
  </si>
  <si>
    <t>B2.3.1.1</t>
  </si>
  <si>
    <t>B2.3.2</t>
  </si>
  <si>
    <t>B2.3.2.1</t>
  </si>
  <si>
    <t>leki, środki spożywcze specjalnego przeznaczenia żywieniowego objęte programami lekowymi</t>
  </si>
  <si>
    <t>chemioterapia, w tym:</t>
  </si>
  <si>
    <t>leki stosowane w chemioterapii</t>
  </si>
  <si>
    <t>zaopatrzenie w wyroby medyczne oraz ich naprawa, o których mowa w ustawie o refundacji</t>
  </si>
  <si>
    <t>B2.14.2</t>
  </si>
  <si>
    <t>refundacja leków, środków spożywczych specjalnego przeznaczenia żywieniowego oraz wyrobów medycznych dostępnych w aptece na receptę</t>
  </si>
  <si>
    <t>refundacja środków spożywczych specjalnego przeznaczenia żywieniowego, o których mowa w art. 15 ust. 2 pkt 18 ustawy</t>
  </si>
  <si>
    <t>refundacja leków, o których mowa w art. 15 ust. 2 pkt 17 ustawy</t>
  </si>
  <si>
    <t>B2.14.3</t>
  </si>
  <si>
    <t>rezerwa na pokrycie kosztów świadczeń opieki zdrowotnej oraz refundacji leków, w tym:</t>
  </si>
  <si>
    <t>B2.16.1</t>
  </si>
  <si>
    <t>Bn</t>
  </si>
  <si>
    <t>wynagrodzenia, w tym:</t>
  </si>
  <si>
    <t>D4.1</t>
  </si>
  <si>
    <t>wynagrodzenia bezosobowe</t>
  </si>
  <si>
    <t>amortyzacja środków trwałych oraz wartości niematerialnych i prawnych</t>
  </si>
  <si>
    <t>Pozostałe koszty (F1+...+F4)</t>
  </si>
  <si>
    <t>Pozostałe przychody</t>
  </si>
  <si>
    <t>świadczenia opieki zdrowotnej kontraktowane odrębnie</t>
  </si>
  <si>
    <t>koszty świadczeń opieki zdrowotnej z lat ubiegłych</t>
  </si>
  <si>
    <t>rezerwa, o której mowa w art. 118 ust. 2 pkt 2 lit. c ustawy</t>
  </si>
  <si>
    <t>Przychody i koszty Narodowego Funduszu Zdrowia - łącznie</t>
  </si>
  <si>
    <t>Koszty Centrali Narodowego Funduszu Zdrowia</t>
  </si>
  <si>
    <t>Koszty oddziałów wojewódzkich NFZ - łącznie</t>
  </si>
  <si>
    <t>Plan 
po zmianie</t>
  </si>
  <si>
    <t>Różnica 
kol.4-kol.3</t>
  </si>
  <si>
    <t>Dynamika
kol.4/kol.3</t>
  </si>
  <si>
    <t>Pozostałe koszty (F1+ … +F4)</t>
  </si>
  <si>
    <t>Przychody finansowe (G1 + G2)</t>
  </si>
  <si>
    <t>Planowany odpis aktualizujący składkę należną (2.1 + 2.2)</t>
  </si>
  <si>
    <t>Przychody ze składek z lat ubiegłych (3.1+3.2)</t>
  </si>
  <si>
    <t>Koszt poboru i ewidencjonowania składek (4.1 + 4.2)</t>
  </si>
  <si>
    <t>refundacja, z tego:</t>
  </si>
  <si>
    <t>B2.19</t>
  </si>
  <si>
    <t>rezerwa na koszty świadczeń opieki zdrowotnej udzielone w ramach transgranicznej opieki zdrowotnej</t>
  </si>
  <si>
    <t>Koszty administracyjne (D1 + … + D8)</t>
  </si>
  <si>
    <t>podatki i opłaty, z tego:</t>
  </si>
  <si>
    <t>ubezpieczenie społeczne i inne świadczenia, z tego:</t>
  </si>
  <si>
    <t>Koszty administracyjne ( D1+...+D8 )</t>
  </si>
  <si>
    <t>podatki i opłaty, z tego</t>
  </si>
  <si>
    <t>B2.20</t>
  </si>
  <si>
    <t>rezerwa na dofinansowanie programów polityki zdrowotnej na podstawie art. 48d ustawy</t>
  </si>
  <si>
    <t>B5</t>
  </si>
  <si>
    <t>Koszty finansowania leku, środka spożywczego specjalnego przeznaczenia żywieniowego oraz wyrobu medycznego w części finansowanej z budżetu państwa zgodnie z art. 43a ust. 3 ustawy</t>
  </si>
  <si>
    <t>WYNIK NA DZIAŁALNOŚCI (A - B)</t>
  </si>
  <si>
    <t xml:space="preserve"> PRZYCHODY - ogółem</t>
  </si>
  <si>
    <t xml:space="preserve"> KOSZTY - ogółem</t>
  </si>
  <si>
    <t>B2.21</t>
  </si>
  <si>
    <t>programy lekowe, w tym:</t>
  </si>
  <si>
    <t>Odpis dla Agencji Oceny Technologii Medycznych i Taryfikacji, o którym mowa w art. 31t ust. 5-9 ustawy</t>
  </si>
  <si>
    <t>B6</t>
  </si>
  <si>
    <t>Koszty zadania, o którym mowa w art. 97 ust. 3 pkt 4c ustawy</t>
  </si>
  <si>
    <t>Plan na
2020 rok</t>
  </si>
  <si>
    <t>A5</t>
  </si>
  <si>
    <t>Składka należna brutto w roku planowania równa przypisowi składki (1.1 + 1.2)</t>
  </si>
  <si>
    <t>Przychody netto z działalności (1-2+3-4-5) + A1 + A2 + A3 + A4 + A5</t>
  </si>
  <si>
    <t>WYNIK FINANSOWY OGÓŁEM NETTO (C - D + E - F + G - H)</t>
  </si>
  <si>
    <t>dotacja podmiotowa z budżetu państwa, o której mowa w art. 97 ust. 8a ustawy</t>
  </si>
  <si>
    <t>ratunkowy dostęp do technologii lekowej</t>
  </si>
  <si>
    <t>B2.3.3</t>
  </si>
  <si>
    <t>świadczenia wysokospecjalistyczne</t>
  </si>
  <si>
    <t>B2.3.4</t>
  </si>
  <si>
    <t>B2.21.1</t>
  </si>
  <si>
    <t>B2.22</t>
  </si>
  <si>
    <t>koszty świadczeń opieki zdrowotnej w ramach programów pilotażowych w centrach zdrowia psychicznego</t>
  </si>
  <si>
    <t>świadczenia udzielane za pośrednictwem systemu teleinformatycznego lub systemu łączności</t>
  </si>
  <si>
    <t>B7</t>
  </si>
  <si>
    <t>Koszty finansowania leku, zgodnie z art. 43b ust. 7 ustawy</t>
  </si>
  <si>
    <t>dotacje z budżetu państwa na finansowanie zadań, o których mowa w art. 97 ust. 3 pkt 2b, 2c i 2e ustawy</t>
  </si>
  <si>
    <t>Koszty świadczeń opieki zdrowotnej  (B2.1 + … + B2.22)</t>
  </si>
  <si>
    <t>Koszty świadczeń opieki zdrowotnej  (B2.1+...+B2.22)</t>
  </si>
  <si>
    <t>wydanie i utrzymanie kart ubezpieczenia</t>
  </si>
  <si>
    <t>Koszty realizacji zadań (B1 + B2 + B3 + B4 + B5 + B6 + B7)</t>
  </si>
  <si>
    <t>Całkowity budżet na refundację (B2.3.1.1+B2.3.2.1+B2.3.3+B2.14+B2.16.1+B5+B7)</t>
  </si>
  <si>
    <t>koszty świadczeń opieki zdrowotnej w ramach programów pilotażowych, o których mowa w art. 48e ustawy, w tym:</t>
  </si>
  <si>
    <t>ZMIANA PLANU FINANSOWEGO NARODOWEGO FUNDUSZU ZDROWIA NA 2020 ROK Z DNIA 29 GRUDNIA 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</si>
</sst>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z_ł_-;\-* #,##0.00\ _z_ł_-;_-* &quot;-&quot;??\ _z_ł_-;_-@_-"/>
    <numFmt numFmtId="165" formatCode="#,##0_ ;[Red]\-#,##0\ "/>
    <numFmt numFmtId="166" formatCode="#,##0.00_ ;[Red]\-#,##0.00\ "/>
    <numFmt numFmtId="167" formatCode="#,##0&quot; F&quot;_);[Red]\(#,##0&quot; F&quot;\)"/>
    <numFmt numFmtId="168" formatCode="#,##0.00&quot; F&quot;_);[Red]\(#,##0.00&quot; F&quot;\)"/>
    <numFmt numFmtId="169" formatCode="0.0%"/>
  </numFmts>
  <fonts count="23" x14ac:knownFonts="1">
    <font>
      <sz val="10"/>
      <name val="Arial CE"/>
      <charset val="238"/>
    </font>
    <font>
      <sz val="10"/>
      <name val="Arial CE"/>
      <charset val="238"/>
    </font>
    <font>
      <sz val="10"/>
      <name val="Arial CE"/>
    </font>
    <font>
      <sz val="8"/>
      <name val="Arial CE"/>
      <charset val="238"/>
    </font>
    <font>
      <sz val="10"/>
      <name val="Helv"/>
      <charset val="238"/>
    </font>
    <font>
      <sz val="10"/>
      <name val="MS Sans Serif"/>
      <family val="2"/>
      <charset val="238"/>
    </font>
    <font>
      <sz val="10"/>
      <name val="Arial"/>
      <family val="2"/>
      <charset val="238"/>
    </font>
    <font>
      <b/>
      <sz val="14"/>
      <name val="Times New Roman CE"/>
      <charset val="238"/>
    </font>
    <font>
      <sz val="8"/>
      <color theme="1"/>
      <name val="Verdana"/>
      <family val="2"/>
      <charset val="238"/>
    </font>
    <font>
      <sz val="14"/>
      <name val="Times New Roman"/>
      <family val="1"/>
    </font>
    <font>
      <sz val="14"/>
      <name val="Times New Roman CE"/>
      <charset val="238"/>
    </font>
    <font>
      <b/>
      <sz val="14"/>
      <name val="Times New Roman"/>
      <family val="1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b/>
      <sz val="14"/>
      <name val="Verdana"/>
      <family val="2"/>
      <charset val="238"/>
    </font>
    <font>
      <sz val="14"/>
      <name val="Verdana"/>
      <family val="2"/>
      <charset val="238"/>
    </font>
    <font>
      <b/>
      <sz val="12"/>
      <name val="Times New Roman CE"/>
      <charset val="238"/>
    </font>
    <font>
      <sz val="14"/>
      <name val="Times New Roman CE"/>
      <family val="1"/>
      <charset val="238"/>
    </font>
    <font>
      <b/>
      <sz val="14"/>
      <name val="Times New Roman CE"/>
      <family val="1"/>
      <charset val="238"/>
    </font>
    <font>
      <i/>
      <sz val="14"/>
      <name val="Times New Roman CE"/>
      <charset val="238"/>
    </font>
    <font>
      <b/>
      <sz val="14"/>
      <color theme="1"/>
      <name val="Times New Roman CE"/>
      <family val="1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6" fillId="0" borderId="0"/>
    <xf numFmtId="0" fontId="4" fillId="0" borderId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</cellStyleXfs>
  <cellXfs count="94">
    <xf numFmtId="0" fontId="0" fillId="0" borderId="0" xfId="0"/>
    <xf numFmtId="0" fontId="9" fillId="0" borderId="1" xfId="18" applyFont="1" applyFill="1" applyBorder="1" applyAlignment="1" applyProtection="1">
      <alignment horizontal="left" vertical="center" wrapText="1" indent="3"/>
    </xf>
    <xf numFmtId="0" fontId="10" fillId="0" borderId="1" xfId="17" applyFont="1" applyFill="1" applyBorder="1" applyAlignment="1" applyProtection="1">
      <alignment horizontal="left" vertical="center" wrapText="1" indent="3"/>
    </xf>
    <xf numFmtId="0" fontId="10" fillId="0" borderId="1" xfId="17" applyFont="1" applyFill="1" applyBorder="1" applyAlignment="1" applyProtection="1">
      <alignment horizontal="left" vertical="center" wrapText="1" indent="4"/>
    </xf>
    <xf numFmtId="0" fontId="9" fillId="0" borderId="1" xfId="18" applyFont="1" applyFill="1" applyBorder="1" applyAlignment="1" applyProtection="1">
      <alignment horizontal="center" vertical="center" wrapText="1"/>
    </xf>
    <xf numFmtId="0" fontId="10" fillId="0" borderId="1" xfId="18" applyFont="1" applyFill="1" applyBorder="1" applyAlignment="1" applyProtection="1">
      <alignment horizontal="center" vertical="center" wrapText="1"/>
    </xf>
    <xf numFmtId="0" fontId="7" fillId="0" borderId="1" xfId="18" applyFont="1" applyFill="1" applyBorder="1" applyAlignment="1" applyProtection="1">
      <alignment horizontal="center" vertical="center" wrapText="1"/>
    </xf>
    <xf numFmtId="0" fontId="13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169" fontId="14" fillId="0" borderId="0" xfId="19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 applyProtection="1">
      <alignment vertical="center"/>
      <protection locked="0"/>
    </xf>
    <xf numFmtId="0" fontId="12" fillId="0" borderId="1" xfId="16" applyFont="1" applyFill="1" applyBorder="1" applyAlignment="1" applyProtection="1">
      <alignment horizontal="center" vertical="center" wrapText="1"/>
      <protection locked="0"/>
    </xf>
    <xf numFmtId="0" fontId="11" fillId="0" borderId="1" xfId="16" applyFont="1" applyFill="1" applyBorder="1" applyAlignment="1" applyProtection="1">
      <alignment horizontal="center" vertical="center" wrapText="1"/>
      <protection locked="0"/>
    </xf>
    <xf numFmtId="3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49" fontId="12" fillId="0" borderId="1" xfId="16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18" applyFont="1" applyFill="1" applyBorder="1" applyAlignment="1" applyProtection="1">
      <alignment horizontal="center" vertical="center" wrapText="1"/>
      <protection locked="0"/>
    </xf>
    <xf numFmtId="0" fontId="12" fillId="0" borderId="1" xfId="18" applyFont="1" applyFill="1" applyBorder="1" applyAlignment="1" applyProtection="1">
      <alignment horizontal="left" vertical="center" wrapText="1" indent="1"/>
    </xf>
    <xf numFmtId="3" fontId="12" fillId="0" borderId="1" xfId="0" applyNumberFormat="1" applyFont="1" applyFill="1" applyBorder="1" applyAlignment="1">
      <alignment horizontal="right" vertical="center"/>
    </xf>
    <xf numFmtId="0" fontId="13" fillId="0" borderId="1" xfId="18" applyFont="1" applyFill="1" applyBorder="1" applyAlignment="1" applyProtection="1">
      <alignment horizontal="left" vertical="center" wrapText="1" indent="2"/>
    </xf>
    <xf numFmtId="3" fontId="13" fillId="0" borderId="1" xfId="0" applyNumberFormat="1" applyFont="1" applyFill="1" applyBorder="1" applyAlignment="1" applyProtection="1">
      <alignment horizontal="right" vertical="center"/>
      <protection locked="0"/>
    </xf>
    <xf numFmtId="0" fontId="13" fillId="0" borderId="1" xfId="18" applyFont="1" applyFill="1" applyBorder="1" applyAlignment="1" applyProtection="1">
      <alignment horizontal="center" vertical="center" wrapText="1"/>
    </xf>
    <xf numFmtId="0" fontId="13" fillId="0" borderId="1" xfId="18" applyFont="1" applyFill="1" applyBorder="1" applyAlignment="1" applyProtection="1">
      <alignment horizontal="left" vertical="center" wrapText="1" indent="3"/>
    </xf>
    <xf numFmtId="0" fontId="9" fillId="0" borderId="1" xfId="16" applyFont="1" applyFill="1" applyBorder="1" applyAlignment="1" applyProtection="1">
      <alignment horizontal="left" vertical="center" wrapText="1" indent="2"/>
    </xf>
    <xf numFmtId="0" fontId="10" fillId="0" borderId="1" xfId="18" applyFont="1" applyFill="1" applyBorder="1" applyAlignment="1" applyProtection="1">
      <alignment horizontal="left" vertical="center" wrapText="1" indent="2"/>
    </xf>
    <xf numFmtId="0" fontId="18" fillId="0" borderId="1" xfId="18" applyFont="1" applyFill="1" applyBorder="1" applyAlignment="1" applyProtection="1">
      <alignment horizontal="left" vertical="center" wrapText="1" indent="2"/>
    </xf>
    <xf numFmtId="0" fontId="7" fillId="0" borderId="1" xfId="18" applyFont="1" applyFill="1" applyBorder="1" applyAlignment="1" applyProtection="1">
      <alignment horizontal="left" vertical="center" wrapText="1" indent="1"/>
    </xf>
    <xf numFmtId="3" fontId="12" fillId="0" borderId="1" xfId="0" applyNumberFormat="1" applyFont="1" applyFill="1" applyBorder="1" applyAlignment="1" applyProtection="1">
      <alignment horizontal="right" vertical="center"/>
      <protection locked="0"/>
    </xf>
    <xf numFmtId="0" fontId="18" fillId="0" borderId="0" xfId="0" applyFont="1" applyFill="1" applyAlignment="1" applyProtection="1">
      <alignment vertical="center"/>
      <protection locked="0"/>
    </xf>
    <xf numFmtId="0" fontId="19" fillId="0" borderId="1" xfId="18" applyFont="1" applyFill="1" applyBorder="1" applyAlignment="1" applyProtection="1">
      <alignment horizontal="center" vertical="center" wrapText="1"/>
      <protection locked="0"/>
    </xf>
    <xf numFmtId="0" fontId="10" fillId="0" borderId="1" xfId="17" applyFont="1" applyFill="1" applyBorder="1" applyAlignment="1" applyProtection="1">
      <alignment horizontal="left" vertical="center" wrapText="1" indent="2"/>
    </xf>
    <xf numFmtId="0" fontId="19" fillId="0" borderId="1" xfId="18" applyFont="1" applyFill="1" applyBorder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right" vertical="center"/>
      <protection locked="0"/>
    </xf>
    <xf numFmtId="10" fontId="9" fillId="0" borderId="1" xfId="19" applyNumberFormat="1" applyFont="1" applyFill="1" applyBorder="1" applyAlignment="1" applyProtection="1">
      <alignment horizontal="right" vertical="center"/>
      <protection locked="0"/>
    </xf>
    <xf numFmtId="10" fontId="18" fillId="0" borderId="1" xfId="19" applyNumberFormat="1" applyFont="1" applyFill="1" applyBorder="1" applyAlignment="1" applyProtection="1">
      <alignment horizontal="right" vertical="center"/>
      <protection locked="0"/>
    </xf>
    <xf numFmtId="0" fontId="13" fillId="0" borderId="0" xfId="0" applyFont="1" applyFill="1"/>
    <xf numFmtId="10" fontId="14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18" fillId="0" borderId="0" xfId="0" applyFont="1" applyFill="1" applyBorder="1"/>
    <xf numFmtId="0" fontId="19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11" fillId="0" borderId="1" xfId="16" applyFont="1" applyFill="1" applyBorder="1" applyAlignment="1" applyProtection="1">
      <alignment horizontal="center" vertical="center" wrapText="1"/>
    </xf>
    <xf numFmtId="0" fontId="18" fillId="0" borderId="0" xfId="0" applyFont="1" applyFill="1" applyAlignment="1">
      <alignment vertical="center"/>
    </xf>
    <xf numFmtId="49" fontId="12" fillId="0" borderId="1" xfId="16" applyNumberFormat="1" applyFont="1" applyFill="1" applyBorder="1" applyAlignment="1" applyProtection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3" fontId="12" fillId="0" borderId="1" xfId="16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/>
    <xf numFmtId="0" fontId="18" fillId="0" borderId="1" xfId="18" applyFont="1" applyFill="1" applyBorder="1" applyAlignment="1" applyProtection="1">
      <alignment horizontal="center" vertical="center" wrapText="1"/>
    </xf>
    <xf numFmtId="3" fontId="13" fillId="0" borderId="1" xfId="0" applyNumberFormat="1" applyFont="1" applyFill="1" applyBorder="1" applyAlignment="1">
      <alignment horizontal="right" vertical="center"/>
    </xf>
    <xf numFmtId="0" fontId="18" fillId="0" borderId="1" xfId="18" quotePrefix="1" applyFont="1" applyFill="1" applyBorder="1" applyAlignment="1" applyProtection="1">
      <alignment horizontal="center" vertical="center" wrapText="1"/>
    </xf>
    <xf numFmtId="0" fontId="18" fillId="0" borderId="1" xfId="17" applyFont="1" applyFill="1" applyBorder="1" applyAlignment="1" applyProtection="1">
      <alignment horizontal="left" vertical="center" wrapText="1" indent="2"/>
    </xf>
    <xf numFmtId="0" fontId="9" fillId="0" borderId="1" xfId="18" applyFont="1" applyFill="1" applyBorder="1" applyAlignment="1" applyProtection="1">
      <alignment horizontal="left" vertical="center" wrapText="1" indent="2"/>
    </xf>
    <xf numFmtId="0" fontId="20" fillId="0" borderId="0" xfId="0" applyFont="1" applyFill="1"/>
    <xf numFmtId="3" fontId="20" fillId="0" borderId="0" xfId="0" applyNumberFormat="1" applyFont="1" applyFill="1"/>
    <xf numFmtId="3" fontId="13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 applyFill="1" applyBorder="1"/>
    <xf numFmtId="3" fontId="12" fillId="0" borderId="0" xfId="0" applyNumberFormat="1" applyFont="1" applyFill="1" applyAlignment="1">
      <alignment horizontal="center" vertical="center"/>
    </xf>
    <xf numFmtId="9" fontId="13" fillId="0" borderId="1" xfId="19" applyFont="1" applyFill="1" applyBorder="1" applyAlignment="1">
      <alignment horizontal="right" vertical="center"/>
    </xf>
    <xf numFmtId="0" fontId="21" fillId="2" borderId="1" xfId="18" applyFont="1" applyFill="1" applyBorder="1" applyAlignment="1" applyProtection="1">
      <alignment horizontal="center" vertical="center" wrapText="1"/>
    </xf>
    <xf numFmtId="0" fontId="21" fillId="2" borderId="1" xfId="18" applyFont="1" applyFill="1" applyBorder="1" applyAlignment="1" applyProtection="1">
      <alignment horizontal="left" vertical="center" wrapText="1" indent="1"/>
    </xf>
    <xf numFmtId="3" fontId="22" fillId="2" borderId="1" xfId="0" applyNumberFormat="1" applyFont="1" applyFill="1" applyBorder="1" applyAlignment="1">
      <alignment horizontal="right" vertical="center"/>
    </xf>
    <xf numFmtId="9" fontId="22" fillId="2" borderId="1" xfId="19" applyFont="1" applyFill="1" applyBorder="1" applyAlignment="1">
      <alignment horizontal="right" vertical="center"/>
    </xf>
    <xf numFmtId="0" fontId="19" fillId="2" borderId="1" xfId="18" applyFont="1" applyFill="1" applyBorder="1" applyAlignment="1" applyProtection="1">
      <alignment horizontal="center" vertical="center" wrapText="1"/>
    </xf>
    <xf numFmtId="0" fontId="19" fillId="2" borderId="1" xfId="18" applyFont="1" applyFill="1" applyBorder="1" applyAlignment="1" applyProtection="1">
      <alignment horizontal="left" vertical="center" wrapText="1" indent="1"/>
    </xf>
    <xf numFmtId="3" fontId="12" fillId="2" borderId="1" xfId="0" applyNumberFormat="1" applyFont="1" applyFill="1" applyBorder="1" applyAlignment="1">
      <alignment horizontal="right" vertical="center"/>
    </xf>
    <xf numFmtId="9" fontId="12" fillId="2" borderId="1" xfId="19" applyFont="1" applyFill="1" applyBorder="1" applyAlignment="1">
      <alignment horizontal="right" vertical="center"/>
    </xf>
    <xf numFmtId="0" fontId="19" fillId="2" borderId="1" xfId="18" quotePrefix="1" applyFont="1" applyFill="1" applyBorder="1" applyAlignment="1" applyProtection="1">
      <alignment horizontal="center" vertical="center" wrapText="1"/>
    </xf>
    <xf numFmtId="0" fontId="19" fillId="2" borderId="1" xfId="18" quotePrefix="1" applyFont="1" applyFill="1" applyBorder="1" applyAlignment="1" applyProtection="1">
      <alignment horizontal="left" vertical="center" wrapText="1" indent="1"/>
    </xf>
    <xf numFmtId="0" fontId="19" fillId="2" borderId="1" xfId="18" applyFont="1" applyFill="1" applyBorder="1" applyAlignment="1" applyProtection="1">
      <alignment horizontal="left" vertical="center" wrapText="1" indent="2"/>
    </xf>
    <xf numFmtId="0" fontId="19" fillId="2" borderId="1" xfId="17" applyFont="1" applyFill="1" applyBorder="1" applyAlignment="1" applyProtection="1">
      <alignment horizontal="center" vertical="center" wrapText="1"/>
    </xf>
    <xf numFmtId="0" fontId="19" fillId="2" borderId="1" xfId="17" applyFont="1" applyFill="1" applyBorder="1" applyAlignment="1" applyProtection="1">
      <alignment horizontal="left" vertical="center" wrapText="1" indent="1"/>
    </xf>
    <xf numFmtId="0" fontId="19" fillId="2" borderId="2" xfId="18" applyFont="1" applyFill="1" applyBorder="1" applyAlignment="1" applyProtection="1">
      <alignment horizontal="left" vertical="center" wrapText="1" indent="1"/>
    </xf>
    <xf numFmtId="0" fontId="19" fillId="2" borderId="2" xfId="17" applyFont="1" applyFill="1" applyBorder="1" applyAlignment="1" applyProtection="1">
      <alignment horizontal="left" vertical="center" wrapText="1" indent="1"/>
    </xf>
    <xf numFmtId="0" fontId="18" fillId="3" borderId="1" xfId="18" applyFont="1" applyFill="1" applyBorder="1" applyAlignment="1" applyProtection="1">
      <alignment horizontal="center" vertical="center" wrapText="1"/>
    </xf>
    <xf numFmtId="0" fontId="18" fillId="3" borderId="1" xfId="17" applyFont="1" applyFill="1" applyBorder="1" applyAlignment="1" applyProtection="1">
      <alignment horizontal="left" vertical="center" wrapText="1" indent="2"/>
    </xf>
    <xf numFmtId="3" fontId="13" fillId="3" borderId="1" xfId="0" applyNumberFormat="1" applyFont="1" applyFill="1" applyBorder="1" applyAlignment="1">
      <alignment horizontal="right" vertical="center"/>
    </xf>
    <xf numFmtId="9" fontId="13" fillId="3" borderId="1" xfId="19" applyFont="1" applyFill="1" applyBorder="1" applyAlignment="1">
      <alignment horizontal="right" vertical="center"/>
    </xf>
    <xf numFmtId="0" fontId="18" fillId="3" borderId="1" xfId="17" quotePrefix="1" applyFont="1" applyFill="1" applyBorder="1" applyAlignment="1" applyProtection="1">
      <alignment horizontal="left" vertical="center" wrapText="1" indent="2"/>
    </xf>
    <xf numFmtId="9" fontId="13" fillId="2" borderId="1" xfId="19" applyFont="1" applyFill="1" applyBorder="1" applyAlignment="1">
      <alignment horizontal="right" vertical="center"/>
    </xf>
    <xf numFmtId="3" fontId="18" fillId="0" borderId="0" xfId="0" applyNumberFormat="1" applyFont="1" applyFill="1"/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0" xfId="0" applyFont="1" applyFill="1" applyAlignment="1" applyProtection="1">
      <alignment horizontal="left" vertical="top" wrapText="1"/>
      <protection locked="0"/>
    </xf>
    <xf numFmtId="1" fontId="19" fillId="0" borderId="0" xfId="0" applyNumberFormat="1" applyFont="1" applyFill="1"/>
    <xf numFmtId="1" fontId="18" fillId="0" borderId="0" xfId="0" applyNumberFormat="1" applyFont="1" applyFill="1"/>
    <xf numFmtId="1" fontId="20" fillId="0" borderId="0" xfId="0" applyNumberFormat="1" applyFont="1" applyFill="1"/>
    <xf numFmtId="3" fontId="19" fillId="0" borderId="0" xfId="0" applyNumberFormat="1" applyFont="1" applyFill="1"/>
  </cellXfs>
  <cellStyles count="21">
    <cellStyle name="_PERSONAL" xfId="1"/>
    <cellStyle name="_PERSONAL_1" xfId="2"/>
    <cellStyle name="_PERSONAL_1_dialKartaDziałkiczI (2)" xfId="3"/>
    <cellStyle name="_PERSONAL_1_dialTabelaIDSP (2)" xfId="4"/>
    <cellStyle name="_PERSONAL_1_dialTabelaIIAIWO (2)" xfId="5"/>
    <cellStyle name="_PERSONAL_1_EDUKACJA" xfId="6"/>
    <cellStyle name="_PERSONAL_1_Tabela wskaźników" xfId="7"/>
    <cellStyle name="_PERSONAL_1_Zeszyt3" xfId="8"/>
    <cellStyle name="Comma [0]_laroux" xfId="9"/>
    <cellStyle name="Comma_laroux" xfId="10"/>
    <cellStyle name="Currency [0]_laroux" xfId="11"/>
    <cellStyle name="Currency_laroux" xfId="12"/>
    <cellStyle name="Dziesiętny 2" xfId="13"/>
    <cellStyle name="Normal_laroux" xfId="14"/>
    <cellStyle name="normální_laroux" xfId="15"/>
    <cellStyle name="Normalny" xfId="0" builtinId="0"/>
    <cellStyle name="Normalny_03PlFin_0403" xfId="16"/>
    <cellStyle name="Normalny_WfMgkr1" xfId="17"/>
    <cellStyle name="Normalny_Wzór z 09.10.2001" xfId="18"/>
    <cellStyle name="Procentowy" xfId="19" builtinId="5"/>
    <cellStyle name="Styl 1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1\d\Baza%20Danych%201999\Plany%20Finansowe\Ok\17PW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tarzyna.sadowska/Ustawienia%20lokalne/Temporary%20Internet%20Files/OLK78/Baza%20Danych%201999/Plany%20Finansowe/Ok/17PW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1\d\Baza%20Danych%201999\Plany%20Finansowe\Ok\01p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17PW"/>
      <sheetName val="01pw"/>
      <sheetName val="Zarz. Min. Zdr."/>
      <sheetName val="Zarz. Min. Zdr. kontraktowanie"/>
      <sheetName val="Propozycje zmian"/>
      <sheetName val="Zakontraktowanie"/>
      <sheetName val="Porozumienie Zielonogórskie"/>
      <sheetName val="GFS(2001)"/>
      <sheetName val="dyrektywa"/>
      <sheetName val="lista_jednostek"/>
      <sheetName val="ESA2010"/>
      <sheetName val="słownik komentarz"/>
      <sheetName val="Słownik Komantarz II"/>
      <sheetName val="Słownik Komentarzy"/>
      <sheetName val="słownik"/>
      <sheetName val="Słownik Komentarz II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17PW"/>
      <sheetName val="01pw"/>
      <sheetName val="Zarz. Min. Zdr."/>
      <sheetName val="Zarz. Min. Zdr. kontraktowanie"/>
      <sheetName val="Propozycje zmian"/>
      <sheetName val="Zakontraktowanie"/>
      <sheetName val="Porozumienie Zielonogórskie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01pw"/>
      <sheetName val="01pw.xls"/>
      <sheetName val="Słownik Komentarzy"/>
      <sheetName val="Słownik Komantarz II"/>
    </sheetNames>
    <definedNames>
      <definedName name="PETLA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showGridLines="0" tabSelected="1" view="pageBreakPreview" zoomScale="80" zoomScaleNormal="55" zoomScaleSheetLayoutView="80" workbookViewId="0">
      <pane xSplit="2" ySplit="5" topLeftCell="C6" activePane="bottomRight" state="frozen"/>
      <selection activeCell="J27" sqref="J27"/>
      <selection pane="topRight" activeCell="J27" sqref="J27"/>
      <selection pane="bottomLeft" activeCell="J27" sqref="J27"/>
      <selection pane="bottomRight" activeCell="I7" sqref="I7"/>
    </sheetView>
  </sheetViews>
  <sheetFormatPr defaultRowHeight="18.75" x14ac:dyDescent="0.3"/>
  <cols>
    <col min="1" max="1" width="10.7109375" style="43" customWidth="1"/>
    <col min="2" max="2" width="150.7109375" style="43" customWidth="1"/>
    <col min="3" max="3" width="15.7109375" style="46" customWidth="1"/>
    <col min="4" max="4" width="18.5703125" style="46" customWidth="1"/>
    <col min="5" max="6" width="15.7109375" style="46" customWidth="1"/>
    <col min="7" max="7" width="10" style="46" bestFit="1" customWidth="1"/>
    <col min="8" max="8" width="14.28515625" style="46" bestFit="1" customWidth="1"/>
    <col min="9" max="16384" width="9.140625" style="46"/>
  </cols>
  <sheetData>
    <row r="1" spans="1:9" s="40" customFormat="1" ht="39.950000000000003" customHeight="1" x14ac:dyDescent="0.3">
      <c r="A1" s="88" t="s">
        <v>216</v>
      </c>
      <c r="B1" s="88"/>
      <c r="C1" s="88"/>
    </row>
    <row r="2" spans="1:9" s="42" customFormat="1" ht="35.1" customHeight="1" x14ac:dyDescent="0.3">
      <c r="A2" s="87" t="s">
        <v>162</v>
      </c>
      <c r="B2" s="87"/>
      <c r="C2" s="41"/>
    </row>
    <row r="3" spans="1:9" x14ac:dyDescent="0.3">
      <c r="B3" s="44"/>
      <c r="C3" s="45"/>
      <c r="E3" s="46" t="s">
        <v>137</v>
      </c>
    </row>
    <row r="4" spans="1:9" s="48" customFormat="1" ht="96" customHeight="1" x14ac:dyDescent="0.2">
      <c r="A4" s="47" t="s">
        <v>114</v>
      </c>
      <c r="B4" s="47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9" ht="19.5" customHeight="1" x14ac:dyDescent="0.3">
      <c r="A5" s="49">
        <v>1</v>
      </c>
      <c r="B5" s="50">
        <v>2</v>
      </c>
      <c r="C5" s="51">
        <v>3</v>
      </c>
      <c r="D5" s="51">
        <v>4</v>
      </c>
      <c r="E5" s="51">
        <v>5</v>
      </c>
      <c r="F5" s="51">
        <v>6</v>
      </c>
    </row>
    <row r="6" spans="1:9" s="52" customFormat="1" ht="24.95" customHeight="1" x14ac:dyDescent="0.3">
      <c r="A6" s="65">
        <v>1</v>
      </c>
      <c r="B6" s="66" t="s">
        <v>195</v>
      </c>
      <c r="C6" s="67">
        <f>C7+C8</f>
        <v>93157823</v>
      </c>
      <c r="D6" s="67">
        <f>D7+D8</f>
        <v>93157823</v>
      </c>
      <c r="E6" s="67" t="str">
        <f>IF(C6=D6,"-",D6-C6)</f>
        <v>-</v>
      </c>
      <c r="F6" s="68">
        <f>IF(C6=0,"-",D6/C6)</f>
        <v>1</v>
      </c>
      <c r="H6" s="90"/>
      <c r="I6" s="93"/>
    </row>
    <row r="7" spans="1:9" ht="24.95" customHeight="1" x14ac:dyDescent="0.3">
      <c r="A7" s="53" t="s">
        <v>75</v>
      </c>
      <c r="B7" s="30" t="s">
        <v>76</v>
      </c>
      <c r="C7" s="54">
        <v>89819705</v>
      </c>
      <c r="D7" s="54">
        <f>C7</f>
        <v>89819705</v>
      </c>
      <c r="E7" s="54" t="str">
        <f t="shared" ref="E7:E89" si="0">IF(C7=D7,"-",D7-C7)</f>
        <v>-</v>
      </c>
      <c r="F7" s="64">
        <f t="shared" ref="F7:F89" si="1">IF(C7=0,"-",D7/C7)</f>
        <v>1</v>
      </c>
      <c r="H7" s="91"/>
      <c r="I7" s="93"/>
    </row>
    <row r="8" spans="1:9" ht="24.95" customHeight="1" x14ac:dyDescent="0.3">
      <c r="A8" s="53" t="s">
        <v>77</v>
      </c>
      <c r="B8" s="30" t="s">
        <v>78</v>
      </c>
      <c r="C8" s="54">
        <v>3338118</v>
      </c>
      <c r="D8" s="54">
        <f>C8</f>
        <v>3338118</v>
      </c>
      <c r="E8" s="54" t="str">
        <f t="shared" si="0"/>
        <v>-</v>
      </c>
      <c r="F8" s="64">
        <f t="shared" si="1"/>
        <v>1</v>
      </c>
      <c r="H8" s="91"/>
      <c r="I8" s="93"/>
    </row>
    <row r="9" spans="1:9" s="52" customFormat="1" ht="24.95" customHeight="1" x14ac:dyDescent="0.3">
      <c r="A9" s="69">
        <v>2</v>
      </c>
      <c r="B9" s="70" t="s">
        <v>170</v>
      </c>
      <c r="C9" s="71">
        <f>C10+C11</f>
        <v>0</v>
      </c>
      <c r="D9" s="71">
        <f>D10+D11</f>
        <v>0</v>
      </c>
      <c r="E9" s="71" t="str">
        <f t="shared" si="0"/>
        <v>-</v>
      </c>
      <c r="F9" s="72" t="str">
        <f t="shared" si="1"/>
        <v>-</v>
      </c>
      <c r="H9" s="90"/>
      <c r="I9" s="93"/>
    </row>
    <row r="10" spans="1:9" ht="24.95" customHeight="1" x14ac:dyDescent="0.3">
      <c r="A10" s="53" t="s">
        <v>79</v>
      </c>
      <c r="B10" s="30" t="s">
        <v>80</v>
      </c>
      <c r="C10" s="54">
        <v>0</v>
      </c>
      <c r="D10" s="54">
        <f>C10</f>
        <v>0</v>
      </c>
      <c r="E10" s="54" t="str">
        <f t="shared" si="0"/>
        <v>-</v>
      </c>
      <c r="F10" s="64" t="str">
        <f t="shared" si="1"/>
        <v>-</v>
      </c>
      <c r="H10" s="91"/>
      <c r="I10" s="93"/>
    </row>
    <row r="11" spans="1:9" ht="24.95" customHeight="1" x14ac:dyDescent="0.3">
      <c r="A11" s="53" t="s">
        <v>81</v>
      </c>
      <c r="B11" s="30" t="s">
        <v>82</v>
      </c>
      <c r="C11" s="54">
        <v>0</v>
      </c>
      <c r="D11" s="54">
        <f>C11</f>
        <v>0</v>
      </c>
      <c r="E11" s="54" t="str">
        <f t="shared" si="0"/>
        <v>-</v>
      </c>
      <c r="F11" s="64" t="str">
        <f t="shared" si="1"/>
        <v>-</v>
      </c>
      <c r="H11" s="91"/>
      <c r="I11" s="93"/>
    </row>
    <row r="12" spans="1:9" s="52" customFormat="1" ht="24.95" customHeight="1" x14ac:dyDescent="0.3">
      <c r="A12" s="69">
        <v>3</v>
      </c>
      <c r="B12" s="70" t="s">
        <v>171</v>
      </c>
      <c r="C12" s="71">
        <f>C13+C14</f>
        <v>115000</v>
      </c>
      <c r="D12" s="71">
        <f>D13+D14</f>
        <v>115000</v>
      </c>
      <c r="E12" s="71" t="str">
        <f t="shared" si="0"/>
        <v>-</v>
      </c>
      <c r="F12" s="72">
        <f t="shared" si="1"/>
        <v>1</v>
      </c>
      <c r="H12" s="90"/>
      <c r="I12" s="93"/>
    </row>
    <row r="13" spans="1:9" ht="24.95" customHeight="1" x14ac:dyDescent="0.3">
      <c r="A13" s="53" t="s">
        <v>83</v>
      </c>
      <c r="B13" s="30" t="s">
        <v>76</v>
      </c>
      <c r="C13" s="54">
        <v>115000</v>
      </c>
      <c r="D13" s="54">
        <f>C13</f>
        <v>115000</v>
      </c>
      <c r="E13" s="54" t="str">
        <f t="shared" si="0"/>
        <v>-</v>
      </c>
      <c r="F13" s="64">
        <f t="shared" si="1"/>
        <v>1</v>
      </c>
      <c r="H13" s="91"/>
      <c r="I13" s="93"/>
    </row>
    <row r="14" spans="1:9" ht="24.95" customHeight="1" x14ac:dyDescent="0.3">
      <c r="A14" s="53" t="s">
        <v>84</v>
      </c>
      <c r="B14" s="30" t="s">
        <v>78</v>
      </c>
      <c r="C14" s="54">
        <v>0</v>
      </c>
      <c r="D14" s="54">
        <f>C14</f>
        <v>0</v>
      </c>
      <c r="E14" s="54" t="str">
        <f t="shared" si="0"/>
        <v>-</v>
      </c>
      <c r="F14" s="64" t="str">
        <f t="shared" si="1"/>
        <v>-</v>
      </c>
      <c r="H14" s="91"/>
      <c r="I14" s="93"/>
    </row>
    <row r="15" spans="1:9" s="52" customFormat="1" ht="24.95" customHeight="1" x14ac:dyDescent="0.3">
      <c r="A15" s="69">
        <v>4</v>
      </c>
      <c r="B15" s="70" t="s">
        <v>172</v>
      </c>
      <c r="C15" s="71">
        <f>C16+C17</f>
        <v>182821</v>
      </c>
      <c r="D15" s="71">
        <f>D16+D17</f>
        <v>182821</v>
      </c>
      <c r="E15" s="71" t="str">
        <f t="shared" si="0"/>
        <v>-</v>
      </c>
      <c r="F15" s="72">
        <f t="shared" si="1"/>
        <v>1</v>
      </c>
      <c r="H15" s="90"/>
      <c r="I15" s="93"/>
    </row>
    <row r="16" spans="1:9" ht="24.95" customHeight="1" x14ac:dyDescent="0.3">
      <c r="A16" s="55" t="s">
        <v>85</v>
      </c>
      <c r="B16" s="30" t="s">
        <v>86</v>
      </c>
      <c r="C16" s="54">
        <v>179869</v>
      </c>
      <c r="D16" s="54">
        <f>C16</f>
        <v>179869</v>
      </c>
      <c r="E16" s="54" t="str">
        <f t="shared" si="0"/>
        <v>-</v>
      </c>
      <c r="F16" s="64">
        <f t="shared" si="1"/>
        <v>1</v>
      </c>
      <c r="H16" s="91"/>
      <c r="I16" s="93"/>
    </row>
    <row r="17" spans="1:9" ht="24.95" customHeight="1" x14ac:dyDescent="0.3">
      <c r="A17" s="55" t="s">
        <v>87</v>
      </c>
      <c r="B17" s="30" t="s">
        <v>88</v>
      </c>
      <c r="C17" s="54">
        <v>2952</v>
      </c>
      <c r="D17" s="54">
        <f>C17</f>
        <v>2952</v>
      </c>
      <c r="E17" s="54" t="str">
        <f t="shared" si="0"/>
        <v>-</v>
      </c>
      <c r="F17" s="64">
        <f t="shared" si="1"/>
        <v>1</v>
      </c>
      <c r="H17" s="91"/>
      <c r="I17" s="93"/>
    </row>
    <row r="18" spans="1:9" s="52" customFormat="1" ht="24.95" customHeight="1" x14ac:dyDescent="0.3">
      <c r="A18" s="69">
        <v>5</v>
      </c>
      <c r="B18" s="70" t="s">
        <v>190</v>
      </c>
      <c r="C18" s="71">
        <v>41848</v>
      </c>
      <c r="D18" s="71">
        <f>C18</f>
        <v>41848</v>
      </c>
      <c r="E18" s="71" t="str">
        <f t="shared" si="0"/>
        <v>-</v>
      </c>
      <c r="F18" s="72">
        <f t="shared" si="1"/>
        <v>1</v>
      </c>
      <c r="H18" s="90"/>
      <c r="I18" s="93"/>
    </row>
    <row r="19" spans="1:9" s="52" customFormat="1" ht="24.95" customHeight="1" x14ac:dyDescent="0.3">
      <c r="A19" s="73" t="s">
        <v>126</v>
      </c>
      <c r="B19" s="74" t="s">
        <v>196</v>
      </c>
      <c r="C19" s="71">
        <f>(C6-C9+C12-C15-C18)+C20+C21+C22+C23+C24</f>
        <v>96065167</v>
      </c>
      <c r="D19" s="71">
        <f>(D6-D9+D12-D15-D18)+D20+D21+D22+D23+D24</f>
        <v>96065167</v>
      </c>
      <c r="E19" s="71" t="str">
        <f t="shared" si="0"/>
        <v>-</v>
      </c>
      <c r="F19" s="72">
        <f t="shared" si="1"/>
        <v>1</v>
      </c>
      <c r="H19" s="90"/>
      <c r="I19" s="93"/>
    </row>
    <row r="20" spans="1:9" ht="24.95" customHeight="1" x14ac:dyDescent="0.3">
      <c r="A20" s="80" t="s">
        <v>89</v>
      </c>
      <c r="B20" s="81" t="s">
        <v>90</v>
      </c>
      <c r="C20" s="82">
        <v>305450</v>
      </c>
      <c r="D20" s="82">
        <f>C20</f>
        <v>305450</v>
      </c>
      <c r="E20" s="82" t="str">
        <f t="shared" si="0"/>
        <v>-</v>
      </c>
      <c r="F20" s="83">
        <f t="shared" si="1"/>
        <v>1</v>
      </c>
      <c r="H20" s="91"/>
      <c r="I20" s="93"/>
    </row>
    <row r="21" spans="1:9" ht="24.95" customHeight="1" x14ac:dyDescent="0.3">
      <c r="A21" s="80" t="s">
        <v>91</v>
      </c>
      <c r="B21" s="81" t="s">
        <v>92</v>
      </c>
      <c r="C21" s="82">
        <v>107099</v>
      </c>
      <c r="D21" s="82">
        <f>C21</f>
        <v>107099</v>
      </c>
      <c r="E21" s="82" t="str">
        <f t="shared" si="0"/>
        <v>-</v>
      </c>
      <c r="F21" s="83">
        <f t="shared" si="1"/>
        <v>1</v>
      </c>
      <c r="H21" s="91"/>
      <c r="I21" s="93"/>
    </row>
    <row r="22" spans="1:9" ht="24.95" customHeight="1" x14ac:dyDescent="0.3">
      <c r="A22" s="80" t="s">
        <v>93</v>
      </c>
      <c r="B22" s="81" t="s">
        <v>209</v>
      </c>
      <c r="C22" s="82">
        <v>202878</v>
      </c>
      <c r="D22" s="82">
        <f>C22</f>
        <v>202878</v>
      </c>
      <c r="E22" s="82" t="str">
        <f t="shared" si="0"/>
        <v>-</v>
      </c>
      <c r="F22" s="83">
        <f t="shared" si="1"/>
        <v>1</v>
      </c>
      <c r="H22" s="91"/>
      <c r="I22" s="93"/>
    </row>
    <row r="23" spans="1:9" ht="24.95" customHeight="1" x14ac:dyDescent="0.3">
      <c r="A23" s="80" t="s">
        <v>94</v>
      </c>
      <c r="B23" s="84" t="s">
        <v>95</v>
      </c>
      <c r="C23" s="82">
        <v>2401586</v>
      </c>
      <c r="D23" s="82">
        <f>C23</f>
        <v>2401586</v>
      </c>
      <c r="E23" s="82" t="str">
        <f t="shared" si="0"/>
        <v>-</v>
      </c>
      <c r="F23" s="83">
        <f t="shared" si="1"/>
        <v>1</v>
      </c>
      <c r="H23" s="91"/>
      <c r="I23" s="93"/>
    </row>
    <row r="24" spans="1:9" ht="24.95" customHeight="1" x14ac:dyDescent="0.3">
      <c r="A24" s="80" t="s">
        <v>194</v>
      </c>
      <c r="B24" s="81" t="s">
        <v>198</v>
      </c>
      <c r="C24" s="82">
        <v>0</v>
      </c>
      <c r="D24" s="82">
        <f>C24</f>
        <v>0</v>
      </c>
      <c r="E24" s="82" t="str">
        <f t="shared" ref="E24" si="2">IF(C24=D24,"-",D24-C24)</f>
        <v>-</v>
      </c>
      <c r="F24" s="83" t="str">
        <f t="shared" ref="F24" si="3">IF(C24=0,"-",D24/C24)</f>
        <v>-</v>
      </c>
      <c r="H24" s="91"/>
      <c r="I24" s="93"/>
    </row>
    <row r="25" spans="1:9" s="52" customFormat="1" ht="24.95" customHeight="1" x14ac:dyDescent="0.3">
      <c r="A25" s="73" t="s">
        <v>127</v>
      </c>
      <c r="B25" s="74" t="s">
        <v>213</v>
      </c>
      <c r="C25" s="71">
        <f>C26+C27+C61+C62+C63+C64+C65</f>
        <v>105490758</v>
      </c>
      <c r="D25" s="71">
        <f>D26+D27+D61+D62+D63+D64+D65</f>
        <v>105557960</v>
      </c>
      <c r="E25" s="71">
        <f>IF(C25=D25,"-",D25-C25)</f>
        <v>67202</v>
      </c>
      <c r="F25" s="72">
        <f t="shared" si="1"/>
        <v>1</v>
      </c>
      <c r="H25" s="90"/>
      <c r="I25" s="93"/>
    </row>
    <row r="26" spans="1:9" s="52" customFormat="1" ht="24.95" customHeight="1" x14ac:dyDescent="0.3">
      <c r="A26" s="73" t="s">
        <v>96</v>
      </c>
      <c r="B26" s="74" t="s">
        <v>97</v>
      </c>
      <c r="C26" s="71">
        <v>0</v>
      </c>
      <c r="D26" s="71">
        <f>C26</f>
        <v>0</v>
      </c>
      <c r="E26" s="71" t="str">
        <f t="shared" si="0"/>
        <v>-</v>
      </c>
      <c r="F26" s="72" t="str">
        <f t="shared" si="1"/>
        <v>-</v>
      </c>
      <c r="H26" s="90"/>
      <c r="I26" s="93"/>
    </row>
    <row r="27" spans="1:9" s="52" customFormat="1" ht="24.95" customHeight="1" x14ac:dyDescent="0.3">
      <c r="A27" s="73" t="s">
        <v>0</v>
      </c>
      <c r="B27" s="74" t="s">
        <v>210</v>
      </c>
      <c r="C27" s="71">
        <f>C28+C29+C30+C37+C38+C39+C40+C41+C42+C43+C44+C45+C46+C47+C51+C52+C54+C55+C56+C57+C58+C60</f>
        <v>102183253</v>
      </c>
      <c r="D27" s="71">
        <f>D28+D29+D30+D37+D38+D39+D40+D41+D42+D43+D44+D45+D46+D47+D51+D52+D54+D55+D56+D57+D58+D60</f>
        <v>102250455</v>
      </c>
      <c r="E27" s="71">
        <f>IF(C27=D27,"-",D27-C27)</f>
        <v>67202</v>
      </c>
      <c r="F27" s="72">
        <f t="shared" si="1"/>
        <v>1</v>
      </c>
      <c r="H27" s="90"/>
      <c r="I27" s="93"/>
    </row>
    <row r="28" spans="1:9" ht="24.95" customHeight="1" x14ac:dyDescent="0.3">
      <c r="A28" s="53" t="s">
        <v>1</v>
      </c>
      <c r="B28" s="57" t="s">
        <v>115</v>
      </c>
      <c r="C28" s="54">
        <f>CENTRALA!C7+'Razem OW'!C7</f>
        <v>13845775</v>
      </c>
      <c r="D28" s="54">
        <f>CENTRALA!D7+'Razem OW'!D7</f>
        <v>13845775</v>
      </c>
      <c r="E28" s="54" t="str">
        <f t="shared" si="0"/>
        <v>-</v>
      </c>
      <c r="F28" s="64">
        <f t="shared" si="1"/>
        <v>1</v>
      </c>
      <c r="H28" s="91"/>
      <c r="I28" s="93"/>
    </row>
    <row r="29" spans="1:9" ht="24.95" customHeight="1" x14ac:dyDescent="0.3">
      <c r="A29" s="53" t="s">
        <v>2</v>
      </c>
      <c r="B29" s="57" t="s">
        <v>116</v>
      </c>
      <c r="C29" s="54">
        <f>CENTRALA!C8+'Razem OW'!C8</f>
        <v>5787698</v>
      </c>
      <c r="D29" s="54">
        <f>CENTRALA!D8+'Razem OW'!D8</f>
        <v>5787698</v>
      </c>
      <c r="E29" s="54" t="str">
        <f>IF(C29=D29,"-",D29-C29)</f>
        <v>-</v>
      </c>
      <c r="F29" s="64">
        <f t="shared" si="1"/>
        <v>1</v>
      </c>
      <c r="H29" s="91"/>
      <c r="I29" s="93"/>
    </row>
    <row r="30" spans="1:9" ht="24.95" customHeight="1" x14ac:dyDescent="0.3">
      <c r="A30" s="53" t="s">
        <v>3</v>
      </c>
      <c r="B30" s="57" t="s">
        <v>113</v>
      </c>
      <c r="C30" s="54">
        <f>CENTRALA!C9+'Razem OW'!C9</f>
        <v>55400999</v>
      </c>
      <c r="D30" s="54">
        <f>CENTRALA!D9+'Razem OW'!D9</f>
        <v>55468201</v>
      </c>
      <c r="E30" s="54">
        <f t="shared" si="0"/>
        <v>67202</v>
      </c>
      <c r="F30" s="64">
        <f t="shared" si="1"/>
        <v>1</v>
      </c>
      <c r="H30" s="91"/>
      <c r="I30" s="93"/>
    </row>
    <row r="31" spans="1:9" ht="24.95" customHeight="1" x14ac:dyDescent="0.3">
      <c r="A31" s="53" t="s">
        <v>54</v>
      </c>
      <c r="B31" s="1" t="s">
        <v>189</v>
      </c>
      <c r="C31" s="54">
        <f>CENTRALA!C10+'Razem OW'!C10</f>
        <v>4990604</v>
      </c>
      <c r="D31" s="54">
        <f>CENTRALA!D10+'Razem OW'!D10</f>
        <v>4990604</v>
      </c>
      <c r="E31" s="54" t="str">
        <f t="shared" si="0"/>
        <v>-</v>
      </c>
      <c r="F31" s="64">
        <f t="shared" si="1"/>
        <v>1</v>
      </c>
      <c r="H31" s="91"/>
      <c r="I31" s="93"/>
    </row>
    <row r="32" spans="1:9" ht="24.95" customHeight="1" x14ac:dyDescent="0.3">
      <c r="A32" s="53" t="s">
        <v>138</v>
      </c>
      <c r="B32" s="1" t="s">
        <v>141</v>
      </c>
      <c r="C32" s="54">
        <f>CENTRALA!C11+'Razem OW'!C11</f>
        <v>4490409</v>
      </c>
      <c r="D32" s="54">
        <f>CENTRALA!D11+'Razem OW'!D11</f>
        <v>4490409</v>
      </c>
      <c r="E32" s="54" t="str">
        <f t="shared" si="0"/>
        <v>-</v>
      </c>
      <c r="F32" s="64">
        <f t="shared" si="1"/>
        <v>1</v>
      </c>
      <c r="H32" s="91"/>
      <c r="I32" s="93"/>
    </row>
    <row r="33" spans="1:9" ht="24.95" customHeight="1" x14ac:dyDescent="0.3">
      <c r="A33" s="53" t="s">
        <v>139</v>
      </c>
      <c r="B33" s="1" t="s">
        <v>142</v>
      </c>
      <c r="C33" s="54">
        <f>CENTRALA!C12+'Razem OW'!C12</f>
        <v>1515464</v>
      </c>
      <c r="D33" s="54">
        <f>CENTRALA!D12+'Razem OW'!D12</f>
        <v>1515464</v>
      </c>
      <c r="E33" s="54" t="str">
        <f t="shared" si="0"/>
        <v>-</v>
      </c>
      <c r="F33" s="64">
        <f t="shared" si="1"/>
        <v>1</v>
      </c>
      <c r="H33" s="91"/>
      <c r="I33" s="93"/>
    </row>
    <row r="34" spans="1:9" ht="24.95" customHeight="1" x14ac:dyDescent="0.3">
      <c r="A34" s="53" t="s">
        <v>140</v>
      </c>
      <c r="B34" s="1" t="s">
        <v>143</v>
      </c>
      <c r="C34" s="54">
        <f>CENTRALA!C13+'Razem OW'!C13</f>
        <v>664705</v>
      </c>
      <c r="D34" s="54">
        <f>CENTRALA!D13+'Razem OW'!D13</f>
        <v>664705</v>
      </c>
      <c r="E34" s="54" t="str">
        <f t="shared" si="0"/>
        <v>-</v>
      </c>
      <c r="F34" s="64">
        <f t="shared" si="1"/>
        <v>1</v>
      </c>
      <c r="H34" s="91"/>
      <c r="I34" s="93"/>
    </row>
    <row r="35" spans="1:9" ht="24.95" customHeight="1" x14ac:dyDescent="0.3">
      <c r="A35" s="53" t="s">
        <v>200</v>
      </c>
      <c r="B35" s="1" t="s">
        <v>199</v>
      </c>
      <c r="C35" s="54">
        <f>CENTRALA!C14+'Razem OW'!C14</f>
        <v>31407</v>
      </c>
      <c r="D35" s="54">
        <f>CENTRALA!D14+'Razem OW'!D14</f>
        <v>31407</v>
      </c>
      <c r="E35" s="54" t="str">
        <f t="shared" si="0"/>
        <v>-</v>
      </c>
      <c r="F35" s="64">
        <f t="shared" si="1"/>
        <v>1</v>
      </c>
      <c r="H35" s="91"/>
      <c r="I35" s="93"/>
    </row>
    <row r="36" spans="1:9" ht="24.95" customHeight="1" x14ac:dyDescent="0.3">
      <c r="A36" s="53" t="s">
        <v>202</v>
      </c>
      <c r="B36" s="27" t="s">
        <v>201</v>
      </c>
      <c r="C36" s="54">
        <f>CENTRALA!C15+'Razem OW'!C15</f>
        <v>191878</v>
      </c>
      <c r="D36" s="54">
        <f>CENTRALA!D15+'Razem OW'!D15</f>
        <v>191878</v>
      </c>
      <c r="E36" s="54" t="str">
        <f t="shared" si="0"/>
        <v>-</v>
      </c>
      <c r="F36" s="64">
        <f t="shared" si="1"/>
        <v>1</v>
      </c>
      <c r="H36" s="91"/>
      <c r="I36" s="93"/>
    </row>
    <row r="37" spans="1:9" ht="24.95" customHeight="1" x14ac:dyDescent="0.3">
      <c r="A37" s="53" t="s">
        <v>4</v>
      </c>
      <c r="B37" s="57" t="s">
        <v>121</v>
      </c>
      <c r="C37" s="54">
        <f>CENTRALA!C16+'Razem OW'!C16</f>
        <v>3277572</v>
      </c>
      <c r="D37" s="54">
        <f>CENTRALA!D16+'Razem OW'!D16</f>
        <v>3277572</v>
      </c>
      <c r="E37" s="54" t="str">
        <f t="shared" si="0"/>
        <v>-</v>
      </c>
      <c r="F37" s="64">
        <f t="shared" si="1"/>
        <v>1</v>
      </c>
      <c r="H37" s="91"/>
      <c r="I37" s="93"/>
    </row>
    <row r="38" spans="1:9" ht="24.95" customHeight="1" x14ac:dyDescent="0.3">
      <c r="A38" s="53" t="s">
        <v>5</v>
      </c>
      <c r="B38" s="57" t="s">
        <v>117</v>
      </c>
      <c r="C38" s="54">
        <f>CENTRALA!C17+'Razem OW'!C17</f>
        <v>3229595</v>
      </c>
      <c r="D38" s="54">
        <f>CENTRALA!D17+'Razem OW'!D17</f>
        <v>3229595</v>
      </c>
      <c r="E38" s="54" t="str">
        <f t="shared" si="0"/>
        <v>-</v>
      </c>
      <c r="F38" s="64">
        <f t="shared" si="1"/>
        <v>1</v>
      </c>
      <c r="H38" s="91"/>
      <c r="I38" s="93"/>
    </row>
    <row r="39" spans="1:9" ht="24.95" customHeight="1" x14ac:dyDescent="0.3">
      <c r="A39" s="53" t="s">
        <v>6</v>
      </c>
      <c r="B39" s="57" t="s">
        <v>123</v>
      </c>
      <c r="C39" s="54">
        <f>CENTRALA!C18+'Razem OW'!C18</f>
        <v>2101884</v>
      </c>
      <c r="D39" s="54">
        <f>CENTRALA!D18+'Razem OW'!D18</f>
        <v>2101884</v>
      </c>
      <c r="E39" s="54" t="str">
        <f t="shared" si="0"/>
        <v>-</v>
      </c>
      <c r="F39" s="64">
        <f t="shared" si="1"/>
        <v>1</v>
      </c>
      <c r="H39" s="91"/>
      <c r="I39" s="93"/>
    </row>
    <row r="40" spans="1:9" ht="24.95" customHeight="1" x14ac:dyDescent="0.3">
      <c r="A40" s="53" t="s">
        <v>7</v>
      </c>
      <c r="B40" s="57" t="s">
        <v>122</v>
      </c>
      <c r="C40" s="54">
        <f>CENTRALA!C19+'Razem OW'!C19</f>
        <v>874983</v>
      </c>
      <c r="D40" s="54">
        <f>CENTRALA!D19+'Razem OW'!D19</f>
        <v>874983</v>
      </c>
      <c r="E40" s="54" t="str">
        <f>IF(C40=D40,"-",D40-C40)</f>
        <v>-</v>
      </c>
      <c r="F40" s="64">
        <f>IF(C40=0,"-",D40/C40)</f>
        <v>1</v>
      </c>
      <c r="H40" s="91"/>
      <c r="I40" s="93"/>
    </row>
    <row r="41" spans="1:9" ht="24.95" customHeight="1" x14ac:dyDescent="0.3">
      <c r="A41" s="53" t="s">
        <v>8</v>
      </c>
      <c r="B41" s="57" t="s">
        <v>118</v>
      </c>
      <c r="C41" s="54">
        <f>CENTRALA!C20+'Razem OW'!C20</f>
        <v>1932595</v>
      </c>
      <c r="D41" s="54">
        <f>CENTRALA!D20+'Razem OW'!D20</f>
        <v>1932595</v>
      </c>
      <c r="E41" s="54" t="str">
        <f t="shared" si="0"/>
        <v>-</v>
      </c>
      <c r="F41" s="64">
        <f t="shared" si="1"/>
        <v>1</v>
      </c>
      <c r="H41" s="91"/>
      <c r="I41" s="93"/>
    </row>
    <row r="42" spans="1:9" ht="24.95" customHeight="1" x14ac:dyDescent="0.3">
      <c r="A42" s="53" t="s">
        <v>9</v>
      </c>
      <c r="B42" s="57" t="s">
        <v>119</v>
      </c>
      <c r="C42" s="54">
        <f>CENTRALA!C21+'Razem OW'!C21</f>
        <v>815193</v>
      </c>
      <c r="D42" s="54">
        <f>CENTRALA!D21+'Razem OW'!D21</f>
        <v>815193</v>
      </c>
      <c r="E42" s="54" t="str">
        <f t="shared" si="0"/>
        <v>-</v>
      </c>
      <c r="F42" s="64">
        <f t="shared" si="1"/>
        <v>1</v>
      </c>
      <c r="H42" s="91"/>
      <c r="I42" s="93"/>
    </row>
    <row r="43" spans="1:9" ht="24.95" customHeight="1" x14ac:dyDescent="0.3">
      <c r="A43" s="53" t="s">
        <v>10</v>
      </c>
      <c r="B43" s="57" t="s">
        <v>124</v>
      </c>
      <c r="C43" s="54">
        <f>CENTRALA!C22+'Razem OW'!C22</f>
        <v>287382</v>
      </c>
      <c r="D43" s="54">
        <f>CENTRALA!D22+'Razem OW'!D22</f>
        <v>287382</v>
      </c>
      <c r="E43" s="54" t="str">
        <f t="shared" si="0"/>
        <v>-</v>
      </c>
      <c r="F43" s="64">
        <f t="shared" si="1"/>
        <v>1</v>
      </c>
      <c r="H43" s="91"/>
      <c r="I43" s="93"/>
    </row>
    <row r="44" spans="1:9" ht="24.95" customHeight="1" x14ac:dyDescent="0.3">
      <c r="A44" s="53" t="s">
        <v>11</v>
      </c>
      <c r="B44" s="57" t="s">
        <v>120</v>
      </c>
      <c r="C44" s="54">
        <f>CENTRALA!C23+'Razem OW'!C23</f>
        <v>234374</v>
      </c>
      <c r="D44" s="54">
        <f>CENTRALA!D23+'Razem OW'!D23</f>
        <v>234374</v>
      </c>
      <c r="E44" s="54" t="str">
        <f t="shared" si="0"/>
        <v>-</v>
      </c>
      <c r="F44" s="64">
        <f t="shared" si="1"/>
        <v>1</v>
      </c>
      <c r="H44" s="91"/>
      <c r="I44" s="93"/>
    </row>
    <row r="45" spans="1:9" ht="24.95" customHeight="1" x14ac:dyDescent="0.3">
      <c r="A45" s="53" t="s">
        <v>12</v>
      </c>
      <c r="B45" s="57" t="s">
        <v>159</v>
      </c>
      <c r="C45" s="54">
        <f>CENTRALA!C24+'Razem OW'!C24</f>
        <v>2497340</v>
      </c>
      <c r="D45" s="54">
        <f>CENTRALA!D24+'Razem OW'!D24</f>
        <v>2497340</v>
      </c>
      <c r="E45" s="54" t="str">
        <f t="shared" si="0"/>
        <v>-</v>
      </c>
      <c r="F45" s="64">
        <f t="shared" si="1"/>
        <v>1</v>
      </c>
      <c r="H45" s="91"/>
      <c r="I45" s="93"/>
    </row>
    <row r="46" spans="1:9" ht="24.95" customHeight="1" x14ac:dyDescent="0.3">
      <c r="A46" s="53" t="s">
        <v>13</v>
      </c>
      <c r="B46" s="57" t="s">
        <v>144</v>
      </c>
      <c r="C46" s="54">
        <f>CENTRALA!C25+'Razem OW'!C25</f>
        <v>1259430</v>
      </c>
      <c r="D46" s="54">
        <f>CENTRALA!D25+'Razem OW'!D25</f>
        <v>1259430</v>
      </c>
      <c r="E46" s="54" t="str">
        <f t="shared" si="0"/>
        <v>-</v>
      </c>
      <c r="F46" s="64">
        <f t="shared" si="1"/>
        <v>1</v>
      </c>
      <c r="H46" s="91"/>
      <c r="I46" s="93"/>
    </row>
    <row r="47" spans="1:9" ht="24.95" customHeight="1" x14ac:dyDescent="0.3">
      <c r="A47" s="53" t="s">
        <v>14</v>
      </c>
      <c r="B47" s="24" t="s">
        <v>173</v>
      </c>
      <c r="C47" s="54">
        <f>CENTRALA!C26+'Razem OW'!C26</f>
        <v>8887889</v>
      </c>
      <c r="D47" s="54">
        <f>CENTRALA!D26+'Razem OW'!D26</f>
        <v>8887889</v>
      </c>
      <c r="E47" s="54" t="str">
        <f t="shared" si="0"/>
        <v>-</v>
      </c>
      <c r="F47" s="64">
        <f t="shared" si="1"/>
        <v>1</v>
      </c>
      <c r="H47" s="91"/>
      <c r="I47" s="93"/>
    </row>
    <row r="48" spans="1:9" ht="37.5" x14ac:dyDescent="0.3">
      <c r="A48" s="53" t="s">
        <v>125</v>
      </c>
      <c r="B48" s="1" t="s">
        <v>146</v>
      </c>
      <c r="C48" s="54">
        <f>CENTRALA!C27+'Razem OW'!C27</f>
        <v>8843450</v>
      </c>
      <c r="D48" s="54">
        <f>CENTRALA!D27+'Razem OW'!D27</f>
        <v>8843450</v>
      </c>
      <c r="E48" s="54" t="str">
        <f t="shared" si="0"/>
        <v>-</v>
      </c>
      <c r="F48" s="64">
        <f t="shared" si="1"/>
        <v>1</v>
      </c>
      <c r="H48" s="91"/>
      <c r="I48" s="93"/>
    </row>
    <row r="49" spans="1:9" ht="24.95" customHeight="1" x14ac:dyDescent="0.3">
      <c r="A49" s="53" t="s">
        <v>145</v>
      </c>
      <c r="B49" s="1" t="s">
        <v>148</v>
      </c>
      <c r="C49" s="54">
        <f>CENTRALA!C28+'Razem OW'!C28</f>
        <v>24616</v>
      </c>
      <c r="D49" s="54">
        <f>CENTRALA!D28+'Razem OW'!D28</f>
        <v>24616</v>
      </c>
      <c r="E49" s="54" t="str">
        <f t="shared" si="0"/>
        <v>-</v>
      </c>
      <c r="F49" s="64">
        <f t="shared" si="1"/>
        <v>1</v>
      </c>
      <c r="H49" s="91"/>
      <c r="I49" s="93"/>
    </row>
    <row r="50" spans="1:9" ht="24.95" customHeight="1" x14ac:dyDescent="0.3">
      <c r="A50" s="53" t="s">
        <v>149</v>
      </c>
      <c r="B50" s="1" t="s">
        <v>147</v>
      </c>
      <c r="C50" s="54">
        <f>CENTRALA!C29+'Razem OW'!C29</f>
        <v>19823</v>
      </c>
      <c r="D50" s="54">
        <f>CENTRALA!D29+'Razem OW'!D29</f>
        <v>19823</v>
      </c>
      <c r="E50" s="54" t="str">
        <f t="shared" si="0"/>
        <v>-</v>
      </c>
      <c r="F50" s="64">
        <f t="shared" si="1"/>
        <v>1</v>
      </c>
      <c r="H50" s="91"/>
      <c r="I50" s="93"/>
    </row>
    <row r="51" spans="1:9" ht="24.95" customHeight="1" x14ac:dyDescent="0.3">
      <c r="A51" s="53" t="s">
        <v>15</v>
      </c>
      <c r="B51" s="28" t="s">
        <v>110</v>
      </c>
      <c r="C51" s="54">
        <f>CENTRALA!C30+'Razem OW'!C30</f>
        <v>719370</v>
      </c>
      <c r="D51" s="54">
        <f>CENTRALA!D30+'Razem OW'!D30</f>
        <v>719370</v>
      </c>
      <c r="E51" s="54" t="str">
        <f t="shared" si="0"/>
        <v>-</v>
      </c>
      <c r="F51" s="64">
        <f t="shared" si="1"/>
        <v>1</v>
      </c>
      <c r="H51" s="91"/>
      <c r="I51" s="93"/>
    </row>
    <row r="52" spans="1:9" ht="24.95" customHeight="1" x14ac:dyDescent="0.3">
      <c r="A52" s="53" t="s">
        <v>107</v>
      </c>
      <c r="B52" s="30" t="s">
        <v>150</v>
      </c>
      <c r="C52" s="54">
        <f>CENTRALA!C31+'Razem OW'!C31</f>
        <v>0</v>
      </c>
      <c r="D52" s="54">
        <f>CENTRALA!D31+'Razem OW'!D31</f>
        <v>0</v>
      </c>
      <c r="E52" s="54" t="str">
        <f t="shared" si="0"/>
        <v>-</v>
      </c>
      <c r="F52" s="64" t="str">
        <f t="shared" si="1"/>
        <v>-</v>
      </c>
      <c r="H52" s="91"/>
      <c r="I52" s="93"/>
    </row>
    <row r="53" spans="1:9" ht="24.95" customHeight="1" x14ac:dyDescent="0.3">
      <c r="A53" s="53" t="s">
        <v>151</v>
      </c>
      <c r="B53" s="1" t="s">
        <v>161</v>
      </c>
      <c r="C53" s="54">
        <f>CENTRALA!C32+'Razem OW'!C32</f>
        <v>0</v>
      </c>
      <c r="D53" s="54">
        <f>CENTRALA!D32+'Razem OW'!D32</f>
        <v>0</v>
      </c>
      <c r="E53" s="54" t="str">
        <f t="shared" si="0"/>
        <v>-</v>
      </c>
      <c r="F53" s="64" t="str">
        <f t="shared" si="1"/>
        <v>-</v>
      </c>
      <c r="H53" s="91"/>
      <c r="I53" s="93"/>
    </row>
    <row r="54" spans="1:9" ht="24.95" customHeight="1" x14ac:dyDescent="0.3">
      <c r="A54" s="53" t="s">
        <v>108</v>
      </c>
      <c r="B54" s="30" t="s">
        <v>111</v>
      </c>
      <c r="C54" s="54">
        <f>CENTRALA!C33+'Razem OW'!C33</f>
        <v>0</v>
      </c>
      <c r="D54" s="54">
        <f>CENTRALA!D33+'Razem OW'!D33</f>
        <v>0</v>
      </c>
      <c r="E54" s="54" t="str">
        <f t="shared" si="0"/>
        <v>-</v>
      </c>
      <c r="F54" s="64" t="str">
        <f t="shared" si="1"/>
        <v>-</v>
      </c>
      <c r="H54" s="91"/>
      <c r="I54" s="93"/>
    </row>
    <row r="55" spans="1:9" ht="24.95" customHeight="1" x14ac:dyDescent="0.3">
      <c r="A55" s="53" t="s">
        <v>109</v>
      </c>
      <c r="B55" s="30" t="s">
        <v>160</v>
      </c>
      <c r="C55" s="54">
        <f>CENTRALA!C34+'Razem OW'!C34</f>
        <v>378473</v>
      </c>
      <c r="D55" s="54">
        <f>CENTRALA!D34+'Razem OW'!D34</f>
        <v>378473</v>
      </c>
      <c r="E55" s="54" t="str">
        <f t="shared" si="0"/>
        <v>-</v>
      </c>
      <c r="F55" s="64">
        <f t="shared" si="1"/>
        <v>1</v>
      </c>
      <c r="H55" s="91"/>
      <c r="I55" s="93"/>
    </row>
    <row r="56" spans="1:9" ht="24.75" customHeight="1" x14ac:dyDescent="0.3">
      <c r="A56" s="53" t="s">
        <v>174</v>
      </c>
      <c r="B56" s="30" t="s">
        <v>175</v>
      </c>
      <c r="C56" s="54">
        <f>CENTRALA!C35+'Razem OW'!C35</f>
        <v>50000</v>
      </c>
      <c r="D56" s="54">
        <f>CENTRALA!D35+'Razem OW'!D35</f>
        <v>50000</v>
      </c>
      <c r="E56" s="54" t="str">
        <f>IF(C56=D56,"-",D56-C56)</f>
        <v>-</v>
      </c>
      <c r="F56" s="64">
        <f>IF(C56=0,"-",D56/C56)</f>
        <v>1</v>
      </c>
      <c r="H56" s="91"/>
      <c r="I56" s="93"/>
    </row>
    <row r="57" spans="1:9" ht="24.75" customHeight="1" x14ac:dyDescent="0.3">
      <c r="A57" s="53" t="s">
        <v>181</v>
      </c>
      <c r="B57" s="30" t="s">
        <v>182</v>
      </c>
      <c r="C57" s="54">
        <f>CENTRALA!C36+'Razem OW'!C36</f>
        <v>15488</v>
      </c>
      <c r="D57" s="54">
        <f>CENTRALA!D36+'Razem OW'!D36</f>
        <v>15488</v>
      </c>
      <c r="E57" s="54" t="str">
        <f>IF(C57=D57,"-",D57-C57)</f>
        <v>-</v>
      </c>
      <c r="F57" s="64">
        <f>IF(C57=0,"-",D57/C57)</f>
        <v>1</v>
      </c>
      <c r="H57" s="91"/>
      <c r="I57" s="93"/>
    </row>
    <row r="58" spans="1:9" ht="24.75" customHeight="1" x14ac:dyDescent="0.3">
      <c r="A58" s="53" t="s">
        <v>188</v>
      </c>
      <c r="B58" s="30" t="s">
        <v>215</v>
      </c>
      <c r="C58" s="54">
        <f>CENTRALA!C37+'Razem OW'!C37</f>
        <v>587213</v>
      </c>
      <c r="D58" s="54">
        <f>CENTRALA!D37+'Razem OW'!D37</f>
        <v>587213</v>
      </c>
      <c r="E58" s="54" t="str">
        <f>IF(C58=D58,"-",D58-C58)</f>
        <v>-</v>
      </c>
      <c r="F58" s="64">
        <f>IF(C58=0,"-",D58/C58)</f>
        <v>1</v>
      </c>
      <c r="H58" s="91"/>
      <c r="I58" s="93"/>
    </row>
    <row r="59" spans="1:9" ht="24.75" customHeight="1" x14ac:dyDescent="0.3">
      <c r="A59" s="53" t="s">
        <v>203</v>
      </c>
      <c r="B59" s="1" t="s">
        <v>205</v>
      </c>
      <c r="C59" s="54">
        <f>CENTRALA!C38+'Razem OW'!C38</f>
        <v>387090</v>
      </c>
      <c r="D59" s="54">
        <f>CENTRALA!D38+'Razem OW'!D38</f>
        <v>387090</v>
      </c>
      <c r="E59" s="54" t="str">
        <f t="shared" ref="E59:E60" si="4">IF(C59=D59,"-",D59-C59)</f>
        <v>-</v>
      </c>
      <c r="F59" s="64">
        <f t="shared" ref="F59:F61" si="5">IF(C59=0,"-",D59/C59)</f>
        <v>1</v>
      </c>
      <c r="H59" s="91"/>
      <c r="I59" s="93"/>
    </row>
    <row r="60" spans="1:9" ht="24.75" customHeight="1" x14ac:dyDescent="0.3">
      <c r="A60" s="53" t="s">
        <v>204</v>
      </c>
      <c r="B60" s="30" t="s">
        <v>206</v>
      </c>
      <c r="C60" s="54">
        <f>CENTRALA!C39+'Razem OW'!C39</f>
        <v>0</v>
      </c>
      <c r="D60" s="54">
        <f>CENTRALA!D39+'Razem OW'!D39</f>
        <v>0</v>
      </c>
      <c r="E60" s="54" t="str">
        <f t="shared" si="4"/>
        <v>-</v>
      </c>
      <c r="F60" s="64" t="str">
        <f t="shared" si="5"/>
        <v>-</v>
      </c>
      <c r="H60" s="91"/>
      <c r="I60" s="93"/>
    </row>
    <row r="61" spans="1:9" s="52" customFormat="1" ht="24.95" customHeight="1" x14ac:dyDescent="0.3">
      <c r="A61" s="69" t="s">
        <v>56</v>
      </c>
      <c r="B61" s="75" t="s">
        <v>98</v>
      </c>
      <c r="C61" s="71">
        <f>CENTRALA!C40+'Razem OW'!C40</f>
        <v>6099</v>
      </c>
      <c r="D61" s="71">
        <f>C61</f>
        <v>6099</v>
      </c>
      <c r="E61" s="71" t="str">
        <f t="shared" si="0"/>
        <v>-</v>
      </c>
      <c r="F61" s="85">
        <f t="shared" si="5"/>
        <v>1</v>
      </c>
      <c r="H61" s="90"/>
      <c r="I61" s="93"/>
    </row>
    <row r="62" spans="1:9" s="52" customFormat="1" ht="24.95" customHeight="1" x14ac:dyDescent="0.3">
      <c r="A62" s="69" t="s">
        <v>55</v>
      </c>
      <c r="B62" s="75" t="s">
        <v>58</v>
      </c>
      <c r="C62" s="71">
        <f>CENTRALA!C41+'Razem OW'!C41</f>
        <v>2434224</v>
      </c>
      <c r="D62" s="71">
        <f>CENTRALA!D41+'Razem OW'!D41</f>
        <v>2434224</v>
      </c>
      <c r="E62" s="71" t="str">
        <f t="shared" si="0"/>
        <v>-</v>
      </c>
      <c r="F62" s="72">
        <f t="shared" si="1"/>
        <v>1</v>
      </c>
      <c r="H62" s="90"/>
      <c r="I62" s="93"/>
    </row>
    <row r="63" spans="1:9" s="52" customFormat="1" ht="43.5" customHeight="1" x14ac:dyDescent="0.3">
      <c r="A63" s="69" t="s">
        <v>183</v>
      </c>
      <c r="B63" s="75" t="s">
        <v>184</v>
      </c>
      <c r="C63" s="71">
        <f>CENTRALA!C42+'Razem OW'!C42</f>
        <v>756182</v>
      </c>
      <c r="D63" s="71">
        <f>CENTRALA!D42+'Razem OW'!D42</f>
        <v>756182</v>
      </c>
      <c r="E63" s="71" t="str">
        <f t="shared" si="0"/>
        <v>-</v>
      </c>
      <c r="F63" s="72">
        <f t="shared" si="1"/>
        <v>1</v>
      </c>
      <c r="H63" s="90"/>
      <c r="I63" s="93"/>
    </row>
    <row r="64" spans="1:9" s="52" customFormat="1" ht="24.95" customHeight="1" x14ac:dyDescent="0.3">
      <c r="A64" s="69" t="s">
        <v>191</v>
      </c>
      <c r="B64" s="75" t="s">
        <v>192</v>
      </c>
      <c r="C64" s="71">
        <f>CENTRALA!C43+'Razem OW'!C43</f>
        <v>100000</v>
      </c>
      <c r="D64" s="71">
        <f>CENTRALA!D43+'Razem OW'!D43</f>
        <v>100000</v>
      </c>
      <c r="E64" s="71" t="str">
        <f t="shared" si="0"/>
        <v>-</v>
      </c>
      <c r="F64" s="72">
        <f t="shared" si="1"/>
        <v>1</v>
      </c>
      <c r="H64" s="90"/>
      <c r="I64" s="93"/>
    </row>
    <row r="65" spans="1:9" s="52" customFormat="1" ht="24.95" customHeight="1" x14ac:dyDescent="0.3">
      <c r="A65" s="69" t="s">
        <v>207</v>
      </c>
      <c r="B65" s="75" t="s">
        <v>208</v>
      </c>
      <c r="C65" s="71">
        <f>CENTRALA!C44+'Razem OW'!C44</f>
        <v>11000</v>
      </c>
      <c r="D65" s="71">
        <f>CENTRALA!D44+'Razem OW'!D44</f>
        <v>11000</v>
      </c>
      <c r="E65" s="71" t="str">
        <f t="shared" si="0"/>
        <v>-</v>
      </c>
      <c r="F65" s="72">
        <f t="shared" si="1"/>
        <v>1</v>
      </c>
      <c r="H65" s="90"/>
      <c r="I65" s="93"/>
    </row>
    <row r="66" spans="1:9" s="52" customFormat="1" ht="24.95" customHeight="1" x14ac:dyDescent="0.3">
      <c r="A66" s="69" t="s">
        <v>152</v>
      </c>
      <c r="B66" s="75" t="s">
        <v>214</v>
      </c>
      <c r="C66" s="71">
        <f>CENTRALA!C45+'Razem OW'!C45</f>
        <v>14841592</v>
      </c>
      <c r="D66" s="71">
        <f>CENTRALA!D45+'Razem OW'!D45</f>
        <v>14841592</v>
      </c>
      <c r="E66" s="71" t="str">
        <f>IF(C66=D66,"-",D66-C66)</f>
        <v>-</v>
      </c>
      <c r="F66" s="72">
        <f t="shared" si="1"/>
        <v>1</v>
      </c>
      <c r="H66" s="90"/>
      <c r="I66" s="93"/>
    </row>
    <row r="67" spans="1:9" s="52" customFormat="1" ht="24.95" customHeight="1" x14ac:dyDescent="0.3">
      <c r="A67" s="69" t="s">
        <v>128</v>
      </c>
      <c r="B67" s="70" t="s">
        <v>185</v>
      </c>
      <c r="C67" s="71">
        <f>C19-C25</f>
        <v>-9425591</v>
      </c>
      <c r="D67" s="71">
        <f>D19-D25</f>
        <v>-9492793</v>
      </c>
      <c r="E67" s="71">
        <f t="shared" si="0"/>
        <v>-67202</v>
      </c>
      <c r="F67" s="72">
        <f t="shared" si="1"/>
        <v>1.01</v>
      </c>
      <c r="H67" s="90"/>
      <c r="I67" s="93"/>
    </row>
    <row r="68" spans="1:9" s="52" customFormat="1" ht="24.95" customHeight="1" x14ac:dyDescent="0.3">
      <c r="A68" s="69" t="s">
        <v>129</v>
      </c>
      <c r="B68" s="70" t="s">
        <v>176</v>
      </c>
      <c r="C68" s="71">
        <f>C69+C70+C71+C79+C81+C86+C87+C88</f>
        <v>967018</v>
      </c>
      <c r="D68" s="71">
        <f>D69+D70+D71+D79+D81+D86+D87+D88</f>
        <v>967018</v>
      </c>
      <c r="E68" s="71" t="str">
        <f t="shared" si="0"/>
        <v>-</v>
      </c>
      <c r="F68" s="72">
        <f t="shared" si="1"/>
        <v>1</v>
      </c>
      <c r="H68" s="90"/>
      <c r="I68" s="93"/>
    </row>
    <row r="69" spans="1:9" ht="24.95" customHeight="1" x14ac:dyDescent="0.3">
      <c r="A69" s="53" t="s">
        <v>16</v>
      </c>
      <c r="B69" s="29" t="s">
        <v>17</v>
      </c>
      <c r="C69" s="54">
        <f>CENTRALA!C47+'Razem OW'!C47</f>
        <v>28926</v>
      </c>
      <c r="D69" s="54">
        <f>CENTRALA!D47+'Razem OW'!D47</f>
        <v>28926</v>
      </c>
      <c r="E69" s="54" t="str">
        <f t="shared" si="0"/>
        <v>-</v>
      </c>
      <c r="F69" s="64">
        <f t="shared" si="1"/>
        <v>1</v>
      </c>
      <c r="H69" s="91"/>
      <c r="I69" s="93"/>
    </row>
    <row r="70" spans="1:9" ht="24.95" customHeight="1" x14ac:dyDescent="0.3">
      <c r="A70" s="53" t="s">
        <v>18</v>
      </c>
      <c r="B70" s="29" t="s">
        <v>19</v>
      </c>
      <c r="C70" s="54">
        <f>CENTRALA!C48+'Razem OW'!C48</f>
        <v>268141</v>
      </c>
      <c r="D70" s="54">
        <f>CENTRALA!D48+'Razem OW'!D48</f>
        <v>268141</v>
      </c>
      <c r="E70" s="54" t="str">
        <f t="shared" si="0"/>
        <v>-</v>
      </c>
      <c r="F70" s="64">
        <f t="shared" si="1"/>
        <v>1</v>
      </c>
      <c r="H70" s="91"/>
      <c r="I70" s="93"/>
    </row>
    <row r="71" spans="1:9" ht="24.95" customHeight="1" x14ac:dyDescent="0.3">
      <c r="A71" s="53" t="s">
        <v>20</v>
      </c>
      <c r="B71" s="35" t="s">
        <v>177</v>
      </c>
      <c r="C71" s="54">
        <f>C72+C74+C75+C76+C77+C78</f>
        <v>4713</v>
      </c>
      <c r="D71" s="54">
        <f>D72+D74+D75+D76+D77+D78</f>
        <v>4713</v>
      </c>
      <c r="E71" s="54" t="str">
        <f t="shared" si="0"/>
        <v>-</v>
      </c>
      <c r="F71" s="64">
        <f t="shared" si="1"/>
        <v>1</v>
      </c>
      <c r="H71" s="91"/>
      <c r="I71" s="93"/>
    </row>
    <row r="72" spans="1:9" s="58" customFormat="1" ht="24.95" customHeight="1" x14ac:dyDescent="0.3">
      <c r="A72" s="5" t="s">
        <v>37</v>
      </c>
      <c r="B72" s="2" t="s">
        <v>30</v>
      </c>
      <c r="C72" s="54">
        <f>CENTRALA!C50+'Razem OW'!C50</f>
        <v>672</v>
      </c>
      <c r="D72" s="54">
        <f>CENTRALA!D50+'Razem OW'!D50</f>
        <v>672</v>
      </c>
      <c r="E72" s="54" t="str">
        <f t="shared" si="0"/>
        <v>-</v>
      </c>
      <c r="F72" s="64">
        <f t="shared" si="1"/>
        <v>1</v>
      </c>
      <c r="H72" s="92"/>
      <c r="I72" s="93"/>
    </row>
    <row r="73" spans="1:9" s="58" customFormat="1" ht="24.95" customHeight="1" x14ac:dyDescent="0.3">
      <c r="A73" s="5" t="s">
        <v>38</v>
      </c>
      <c r="B73" s="3" t="s">
        <v>31</v>
      </c>
      <c r="C73" s="54">
        <f>CENTRALA!C51+'Razem OW'!C51</f>
        <v>669</v>
      </c>
      <c r="D73" s="54">
        <f>CENTRALA!D51+'Razem OW'!D51</f>
        <v>669</v>
      </c>
      <c r="E73" s="54" t="str">
        <f t="shared" si="0"/>
        <v>-</v>
      </c>
      <c r="F73" s="64">
        <f t="shared" si="1"/>
        <v>1</v>
      </c>
      <c r="H73" s="92"/>
      <c r="I73" s="93"/>
    </row>
    <row r="74" spans="1:9" s="58" customFormat="1" ht="24.95" customHeight="1" x14ac:dyDescent="0.3">
      <c r="A74" s="5" t="s">
        <v>39</v>
      </c>
      <c r="B74" s="2" t="s">
        <v>32</v>
      </c>
      <c r="C74" s="54">
        <f>CENTRALA!C52+'Razem OW'!C52</f>
        <v>767</v>
      </c>
      <c r="D74" s="54">
        <f>CENTRALA!D52+'Razem OW'!D52</f>
        <v>767</v>
      </c>
      <c r="E74" s="54" t="str">
        <f t="shared" si="0"/>
        <v>-</v>
      </c>
      <c r="F74" s="64">
        <f t="shared" si="1"/>
        <v>1</v>
      </c>
      <c r="H74" s="92"/>
      <c r="I74" s="93"/>
    </row>
    <row r="75" spans="1:9" s="58" customFormat="1" ht="24.95" customHeight="1" x14ac:dyDescent="0.3">
      <c r="A75" s="5" t="s">
        <v>40</v>
      </c>
      <c r="B75" s="2" t="s">
        <v>33</v>
      </c>
      <c r="C75" s="54">
        <f>CENTRALA!C53+'Razem OW'!C53</f>
        <v>23</v>
      </c>
      <c r="D75" s="54">
        <f>CENTRALA!D53+'Razem OW'!D53</f>
        <v>23</v>
      </c>
      <c r="E75" s="54" t="str">
        <f t="shared" si="0"/>
        <v>-</v>
      </c>
      <c r="F75" s="64">
        <f t="shared" si="1"/>
        <v>1</v>
      </c>
      <c r="H75" s="92"/>
      <c r="I75" s="93"/>
    </row>
    <row r="76" spans="1:9" s="58" customFormat="1" ht="24.95" customHeight="1" x14ac:dyDescent="0.3">
      <c r="A76" s="5" t="s">
        <v>41</v>
      </c>
      <c r="B76" s="2" t="s">
        <v>34</v>
      </c>
      <c r="C76" s="54">
        <f>CENTRALA!C54+'Razem OW'!C54</f>
        <v>0</v>
      </c>
      <c r="D76" s="54">
        <f>CENTRALA!D54+'Razem OW'!D54</f>
        <v>0</v>
      </c>
      <c r="E76" s="54" t="str">
        <f t="shared" si="0"/>
        <v>-</v>
      </c>
      <c r="F76" s="64" t="str">
        <f t="shared" si="1"/>
        <v>-</v>
      </c>
      <c r="H76" s="92"/>
      <c r="I76" s="93"/>
    </row>
    <row r="77" spans="1:9" s="58" customFormat="1" ht="24.95" customHeight="1" x14ac:dyDescent="0.3">
      <c r="A77" s="5" t="s">
        <v>42</v>
      </c>
      <c r="B77" s="2" t="s">
        <v>35</v>
      </c>
      <c r="C77" s="54">
        <f>CENTRALA!C55+'Razem OW'!C55</f>
        <v>2666</v>
      </c>
      <c r="D77" s="54">
        <f>CENTRALA!D55+'Razem OW'!D55</f>
        <v>2666</v>
      </c>
      <c r="E77" s="54" t="str">
        <f t="shared" si="0"/>
        <v>-</v>
      </c>
      <c r="F77" s="64">
        <f t="shared" si="1"/>
        <v>1</v>
      </c>
      <c r="H77" s="92"/>
      <c r="I77" s="93"/>
    </row>
    <row r="78" spans="1:9" s="58" customFormat="1" ht="24.95" customHeight="1" x14ac:dyDescent="0.3">
      <c r="A78" s="5" t="s">
        <v>43</v>
      </c>
      <c r="B78" s="2" t="s">
        <v>36</v>
      </c>
      <c r="C78" s="54">
        <f>CENTRALA!C56+'Razem OW'!C56</f>
        <v>585</v>
      </c>
      <c r="D78" s="54">
        <f>CENTRALA!D56+'Razem OW'!D56</f>
        <v>585</v>
      </c>
      <c r="E78" s="54" t="str">
        <f t="shared" si="0"/>
        <v>-</v>
      </c>
      <c r="F78" s="64">
        <f t="shared" si="1"/>
        <v>1</v>
      </c>
      <c r="H78" s="92"/>
      <c r="I78" s="93"/>
    </row>
    <row r="79" spans="1:9" ht="24.95" customHeight="1" x14ac:dyDescent="0.3">
      <c r="A79" s="5" t="s">
        <v>21</v>
      </c>
      <c r="B79" s="29" t="s">
        <v>153</v>
      </c>
      <c r="C79" s="54">
        <f>CENTRALA!C57+'Razem OW'!C57</f>
        <v>453084</v>
      </c>
      <c r="D79" s="54">
        <f>CENTRALA!D57+'Razem OW'!D57</f>
        <v>453084</v>
      </c>
      <c r="E79" s="54" t="str">
        <f t="shared" si="0"/>
        <v>-</v>
      </c>
      <c r="F79" s="64">
        <f t="shared" si="1"/>
        <v>1</v>
      </c>
      <c r="H79" s="91"/>
      <c r="I79" s="93"/>
    </row>
    <row r="80" spans="1:9" ht="24.95" customHeight="1" x14ac:dyDescent="0.3">
      <c r="A80" s="5" t="s">
        <v>154</v>
      </c>
      <c r="B80" s="2" t="s">
        <v>155</v>
      </c>
      <c r="C80" s="54">
        <f>CENTRALA!C58+'Razem OW'!C58</f>
        <v>1600</v>
      </c>
      <c r="D80" s="54">
        <f>CENTRALA!D58+'Razem OW'!D58</f>
        <v>1600</v>
      </c>
      <c r="E80" s="54" t="str">
        <f t="shared" si="0"/>
        <v>-</v>
      </c>
      <c r="F80" s="64">
        <f t="shared" si="1"/>
        <v>1</v>
      </c>
      <c r="H80" s="91"/>
      <c r="I80" s="93"/>
    </row>
    <row r="81" spans="1:9" ht="24.95" customHeight="1" x14ac:dyDescent="0.3">
      <c r="A81" s="53" t="s">
        <v>22</v>
      </c>
      <c r="B81" s="35" t="s">
        <v>178</v>
      </c>
      <c r="C81" s="54">
        <f>SUM(C82:C85)</f>
        <v>102584</v>
      </c>
      <c r="D81" s="54">
        <f>SUM(D82:D85)</f>
        <v>102584</v>
      </c>
      <c r="E81" s="54" t="str">
        <f t="shared" si="0"/>
        <v>-</v>
      </c>
      <c r="F81" s="64">
        <f t="shared" si="1"/>
        <v>1</v>
      </c>
      <c r="H81" s="91"/>
      <c r="I81" s="93"/>
    </row>
    <row r="82" spans="1:9" s="58" customFormat="1" ht="24.95" customHeight="1" x14ac:dyDescent="0.3">
      <c r="A82" s="5" t="s">
        <v>48</v>
      </c>
      <c r="B82" s="2" t="s">
        <v>44</v>
      </c>
      <c r="C82" s="54">
        <f>CENTRALA!C60+'Razem OW'!C60</f>
        <v>77652</v>
      </c>
      <c r="D82" s="54">
        <f>CENTRALA!D60+'Razem OW'!D60</f>
        <v>77652</v>
      </c>
      <c r="E82" s="54" t="str">
        <f t="shared" si="0"/>
        <v>-</v>
      </c>
      <c r="F82" s="64">
        <f t="shared" si="1"/>
        <v>1</v>
      </c>
      <c r="G82" s="59"/>
      <c r="H82" s="92"/>
      <c r="I82" s="93"/>
    </row>
    <row r="83" spans="1:9" s="58" customFormat="1" ht="24.95" customHeight="1" x14ac:dyDescent="0.3">
      <c r="A83" s="5" t="s">
        <v>49</v>
      </c>
      <c r="B83" s="2" t="s">
        <v>45</v>
      </c>
      <c r="C83" s="54">
        <f>CENTRALA!C61+'Razem OW'!C61</f>
        <v>11038</v>
      </c>
      <c r="D83" s="54">
        <f>CENTRALA!D61+'Razem OW'!D61</f>
        <v>11038</v>
      </c>
      <c r="E83" s="54" t="str">
        <f t="shared" si="0"/>
        <v>-</v>
      </c>
      <c r="F83" s="64">
        <f t="shared" si="1"/>
        <v>1</v>
      </c>
      <c r="H83" s="92"/>
      <c r="I83" s="93"/>
    </row>
    <row r="84" spans="1:9" s="58" customFormat="1" ht="24.95" customHeight="1" x14ac:dyDescent="0.3">
      <c r="A84" s="5" t="s">
        <v>50</v>
      </c>
      <c r="B84" s="2" t="s">
        <v>46</v>
      </c>
      <c r="C84" s="54">
        <f>CENTRALA!C62+'Razem OW'!C62</f>
        <v>0</v>
      </c>
      <c r="D84" s="54">
        <f>CENTRALA!D62+'Razem OW'!D62</f>
        <v>0</v>
      </c>
      <c r="E84" s="54" t="str">
        <f t="shared" si="0"/>
        <v>-</v>
      </c>
      <c r="F84" s="64" t="str">
        <f t="shared" si="1"/>
        <v>-</v>
      </c>
      <c r="H84" s="92"/>
      <c r="I84" s="93"/>
    </row>
    <row r="85" spans="1:9" s="58" customFormat="1" ht="24.95" customHeight="1" x14ac:dyDescent="0.3">
      <c r="A85" s="5" t="s">
        <v>51</v>
      </c>
      <c r="B85" s="2" t="s">
        <v>47</v>
      </c>
      <c r="C85" s="54">
        <f>CENTRALA!C63+'Razem OW'!C63</f>
        <v>13894</v>
      </c>
      <c r="D85" s="54">
        <f>CENTRALA!D63+'Razem OW'!D63</f>
        <v>13894</v>
      </c>
      <c r="E85" s="54" t="str">
        <f t="shared" si="0"/>
        <v>-</v>
      </c>
      <c r="F85" s="64">
        <f t="shared" si="1"/>
        <v>1</v>
      </c>
      <c r="H85" s="92"/>
      <c r="I85" s="93"/>
    </row>
    <row r="86" spans="1:9" ht="24.95" customHeight="1" x14ac:dyDescent="0.3">
      <c r="A86" s="53" t="s">
        <v>23</v>
      </c>
      <c r="B86" s="29" t="s">
        <v>24</v>
      </c>
      <c r="C86" s="54">
        <f>CENTRALA!C64+'Razem OW'!C64</f>
        <v>50</v>
      </c>
      <c r="D86" s="54">
        <f>CENTRALA!D64+'Razem OW'!D64</f>
        <v>50</v>
      </c>
      <c r="E86" s="54" t="str">
        <f t="shared" si="0"/>
        <v>-</v>
      </c>
      <c r="F86" s="64">
        <f t="shared" si="1"/>
        <v>1</v>
      </c>
      <c r="H86" s="91"/>
      <c r="I86" s="93"/>
    </row>
    <row r="87" spans="1:9" ht="24.95" customHeight="1" x14ac:dyDescent="0.3">
      <c r="A87" s="53" t="s">
        <v>25</v>
      </c>
      <c r="B87" s="29" t="s">
        <v>156</v>
      </c>
      <c r="C87" s="54">
        <f>CENTRALA!C65+'Razem OW'!C65</f>
        <v>101545</v>
      </c>
      <c r="D87" s="54">
        <f>CENTRALA!D65+'Razem OW'!D65</f>
        <v>101545</v>
      </c>
      <c r="E87" s="54" t="str">
        <f t="shared" si="0"/>
        <v>-</v>
      </c>
      <c r="F87" s="64">
        <f t="shared" si="1"/>
        <v>1</v>
      </c>
      <c r="H87" s="91"/>
      <c r="I87" s="93"/>
    </row>
    <row r="88" spans="1:9" ht="24.95" customHeight="1" x14ac:dyDescent="0.3">
      <c r="A88" s="53" t="s">
        <v>26</v>
      </c>
      <c r="B88" s="29" t="s">
        <v>27</v>
      </c>
      <c r="C88" s="54">
        <f>CENTRALA!C66+'Razem OW'!C66</f>
        <v>7975</v>
      </c>
      <c r="D88" s="54">
        <f>CENTRALA!D66+'Razem OW'!D66</f>
        <v>7975</v>
      </c>
      <c r="E88" s="54" t="str">
        <f t="shared" si="0"/>
        <v>-</v>
      </c>
      <c r="F88" s="64">
        <f t="shared" si="1"/>
        <v>1</v>
      </c>
      <c r="H88" s="91"/>
      <c r="I88" s="93"/>
    </row>
    <row r="89" spans="1:9" s="52" customFormat="1" ht="24.95" customHeight="1" x14ac:dyDescent="0.3">
      <c r="A89" s="76" t="s">
        <v>130</v>
      </c>
      <c r="B89" s="77" t="s">
        <v>158</v>
      </c>
      <c r="C89" s="71">
        <v>7760540</v>
      </c>
      <c r="D89" s="71">
        <f>C89+147944</f>
        <v>7908484</v>
      </c>
      <c r="E89" s="71">
        <f t="shared" si="0"/>
        <v>147944</v>
      </c>
      <c r="F89" s="72">
        <f t="shared" si="1"/>
        <v>1.02</v>
      </c>
      <c r="H89" s="90"/>
      <c r="I89" s="93"/>
    </row>
    <row r="90" spans="1:9" s="52" customFormat="1" ht="24.95" customHeight="1" x14ac:dyDescent="0.3">
      <c r="A90" s="76" t="s">
        <v>131</v>
      </c>
      <c r="B90" s="77" t="s">
        <v>168</v>
      </c>
      <c r="C90" s="71">
        <f>C91+C92+C93+C94</f>
        <v>1190789</v>
      </c>
      <c r="D90" s="71">
        <f>D91+D92+D93+D94</f>
        <v>1210612</v>
      </c>
      <c r="E90" s="71">
        <f t="shared" ref="E90:E101" si="6">IF(C90=D90,"-",D90-C90)</f>
        <v>19823</v>
      </c>
      <c r="F90" s="72">
        <f t="shared" ref="F90:F101" si="7">IF(C90=0,"-",D90/C90)</f>
        <v>1.02</v>
      </c>
      <c r="H90" s="90"/>
      <c r="I90" s="93"/>
    </row>
    <row r="91" spans="1:9" ht="24.95" customHeight="1" x14ac:dyDescent="0.3">
      <c r="A91" s="53" t="s">
        <v>99</v>
      </c>
      <c r="B91" s="30" t="s">
        <v>212</v>
      </c>
      <c r="C91" s="54">
        <f>CENTRALA!C68+'Razem OW'!C68</f>
        <v>1050</v>
      </c>
      <c r="D91" s="54">
        <f>CENTRALA!D68+'Razem OW'!D68</f>
        <v>588</v>
      </c>
      <c r="E91" s="54">
        <f t="shared" si="6"/>
        <v>-462</v>
      </c>
      <c r="F91" s="64">
        <f t="shared" si="7"/>
        <v>0.56000000000000005</v>
      </c>
      <c r="H91" s="91"/>
      <c r="I91" s="93"/>
    </row>
    <row r="92" spans="1:9" ht="24.95" customHeight="1" x14ac:dyDescent="0.3">
      <c r="A92" s="53" t="s">
        <v>28</v>
      </c>
      <c r="B92" s="30" t="s">
        <v>53</v>
      </c>
      <c r="C92" s="54">
        <f>CENTRALA!C69+'Razem OW'!C69</f>
        <v>132565</v>
      </c>
      <c r="D92" s="54">
        <f>CENTRALA!D69+'Razem OW'!D69</f>
        <v>68695</v>
      </c>
      <c r="E92" s="54">
        <f t="shared" si="6"/>
        <v>-63870</v>
      </c>
      <c r="F92" s="64">
        <f t="shared" si="7"/>
        <v>0.52</v>
      </c>
      <c r="H92" s="91"/>
      <c r="I92" s="93"/>
    </row>
    <row r="93" spans="1:9" ht="24.95" customHeight="1" x14ac:dyDescent="0.3">
      <c r="A93" s="53" t="s">
        <v>29</v>
      </c>
      <c r="B93" s="30" t="s">
        <v>101</v>
      </c>
      <c r="C93" s="54">
        <f>CENTRALA!C70+'Razem OW'!C70</f>
        <v>0</v>
      </c>
      <c r="D93" s="54">
        <f>CENTRALA!D70+'Razem OW'!D70</f>
        <v>0</v>
      </c>
      <c r="E93" s="54" t="str">
        <f t="shared" si="6"/>
        <v>-</v>
      </c>
      <c r="F93" s="64" t="str">
        <f t="shared" si="7"/>
        <v>-</v>
      </c>
      <c r="H93" s="91"/>
      <c r="I93" s="93"/>
    </row>
    <row r="94" spans="1:9" ht="24.95" customHeight="1" x14ac:dyDescent="0.3">
      <c r="A94" s="53" t="s">
        <v>100</v>
      </c>
      <c r="B94" s="56" t="s">
        <v>102</v>
      </c>
      <c r="C94" s="54">
        <f>CENTRALA!C71+'Razem OW'!C71</f>
        <v>1057174</v>
      </c>
      <c r="D94" s="54">
        <f>CENTRALA!D71+'Razem OW'!D71</f>
        <v>1141329</v>
      </c>
      <c r="E94" s="54">
        <f t="shared" si="6"/>
        <v>84155</v>
      </c>
      <c r="F94" s="64">
        <f t="shared" si="7"/>
        <v>1.08</v>
      </c>
      <c r="H94" s="91"/>
      <c r="I94" s="93"/>
    </row>
    <row r="95" spans="1:9" s="52" customFormat="1" ht="24.95" customHeight="1" x14ac:dyDescent="0.3">
      <c r="A95" s="76" t="s">
        <v>132</v>
      </c>
      <c r="B95" s="77" t="s">
        <v>169</v>
      </c>
      <c r="C95" s="71">
        <f>C96+C97</f>
        <v>46485</v>
      </c>
      <c r="D95" s="71">
        <f>D96+D97</f>
        <v>44353</v>
      </c>
      <c r="E95" s="71">
        <f>IF(C95=D95,"-",D95-C95)</f>
        <v>-2132</v>
      </c>
      <c r="F95" s="72">
        <f t="shared" si="7"/>
        <v>0.95</v>
      </c>
      <c r="H95" s="90"/>
      <c r="I95" s="93"/>
    </row>
    <row r="96" spans="1:9" ht="24.95" customHeight="1" x14ac:dyDescent="0.3">
      <c r="A96" s="53" t="s">
        <v>103</v>
      </c>
      <c r="B96" s="30" t="s">
        <v>104</v>
      </c>
      <c r="C96" s="54">
        <v>39429</v>
      </c>
      <c r="D96" s="54">
        <f>C96-15958</f>
        <v>23471</v>
      </c>
      <c r="E96" s="54">
        <f t="shared" si="6"/>
        <v>-15958</v>
      </c>
      <c r="F96" s="64">
        <f t="shared" si="7"/>
        <v>0.6</v>
      </c>
      <c r="H96" s="91"/>
      <c r="I96" s="93"/>
    </row>
    <row r="97" spans="1:9" ht="24.95" customHeight="1" x14ac:dyDescent="0.3">
      <c r="A97" s="53" t="s">
        <v>105</v>
      </c>
      <c r="B97" s="56" t="s">
        <v>106</v>
      </c>
      <c r="C97" s="54">
        <v>7056</v>
      </c>
      <c r="D97" s="54">
        <f>C97+13826</f>
        <v>20882</v>
      </c>
      <c r="E97" s="54">
        <f t="shared" si="6"/>
        <v>13826</v>
      </c>
      <c r="F97" s="64">
        <f t="shared" si="7"/>
        <v>2.96</v>
      </c>
      <c r="H97" s="91"/>
      <c r="I97" s="93"/>
    </row>
    <row r="98" spans="1:9" s="52" customFormat="1" ht="24.95" customHeight="1" x14ac:dyDescent="0.3">
      <c r="A98" s="76" t="s">
        <v>133</v>
      </c>
      <c r="B98" s="77" t="s">
        <v>112</v>
      </c>
      <c r="C98" s="71">
        <f>CENTRALA!C72+'Razem OW'!C72</f>
        <v>34568</v>
      </c>
      <c r="D98" s="71">
        <f>CENTRALA!D72+'Razem OW'!D72</f>
        <v>93355</v>
      </c>
      <c r="E98" s="71">
        <f t="shared" si="6"/>
        <v>58787</v>
      </c>
      <c r="F98" s="72">
        <f t="shared" si="7"/>
        <v>2.7</v>
      </c>
      <c r="H98" s="90"/>
      <c r="I98" s="93"/>
    </row>
    <row r="99" spans="1:9" s="52" customFormat="1" ht="24.95" customHeight="1" x14ac:dyDescent="0.3">
      <c r="A99" s="76" t="s">
        <v>134</v>
      </c>
      <c r="B99" s="77" t="s">
        <v>197</v>
      </c>
      <c r="C99" s="71">
        <f>C67-C68+C89-C90+C95-C98</f>
        <v>-3810941</v>
      </c>
      <c r="D99" s="71">
        <f>D67-D68+D89-D90+D95-D98</f>
        <v>-3810941</v>
      </c>
      <c r="E99" s="71" t="str">
        <f t="shared" si="6"/>
        <v>-</v>
      </c>
      <c r="F99" s="72">
        <f t="shared" si="7"/>
        <v>1</v>
      </c>
      <c r="H99" s="90"/>
      <c r="I99" s="93"/>
    </row>
    <row r="100" spans="1:9" s="52" customFormat="1" ht="24.95" customHeight="1" x14ac:dyDescent="0.3">
      <c r="A100" s="69" t="s">
        <v>135</v>
      </c>
      <c r="B100" s="78" t="s">
        <v>186</v>
      </c>
      <c r="C100" s="71">
        <f>C6+C12+C20+C21+C22+C23+C24+C89+C95-C18</f>
        <v>104055013</v>
      </c>
      <c r="D100" s="71">
        <f>D6+D12+D20+D21+D22+D23+D24+D89+D95-D18</f>
        <v>104200825</v>
      </c>
      <c r="E100" s="71">
        <f t="shared" si="6"/>
        <v>145812</v>
      </c>
      <c r="F100" s="72">
        <f t="shared" si="7"/>
        <v>1</v>
      </c>
      <c r="H100" s="90"/>
      <c r="I100" s="93"/>
    </row>
    <row r="101" spans="1:9" s="52" customFormat="1" ht="24.95" customHeight="1" x14ac:dyDescent="0.3">
      <c r="A101" s="76" t="s">
        <v>136</v>
      </c>
      <c r="B101" s="79" t="s">
        <v>187</v>
      </c>
      <c r="C101" s="71">
        <f>C9+C15+C26+C27+C61+C62+C63+C64+C65+C68+C90+C98</f>
        <v>107865954</v>
      </c>
      <c r="D101" s="71">
        <f>D9+D15+D26+D27+D61+D62+D63+D64+D65+D68+D90+D98</f>
        <v>108011766</v>
      </c>
      <c r="E101" s="71">
        <f t="shared" si="6"/>
        <v>145812</v>
      </c>
      <c r="F101" s="72">
        <f t="shared" si="7"/>
        <v>1</v>
      </c>
      <c r="H101" s="90"/>
      <c r="I101" s="93"/>
    </row>
    <row r="102" spans="1:9" x14ac:dyDescent="0.3">
      <c r="C102" s="60"/>
    </row>
    <row r="103" spans="1:9" x14ac:dyDescent="0.3">
      <c r="C103" s="61"/>
      <c r="D103" s="86"/>
    </row>
    <row r="104" spans="1:9" x14ac:dyDescent="0.3">
      <c r="B104" s="62"/>
      <c r="C104" s="63"/>
    </row>
    <row r="105" spans="1:9" x14ac:dyDescent="0.3">
      <c r="B105" s="62"/>
      <c r="C105" s="63"/>
    </row>
    <row r="106" spans="1:9" x14ac:dyDescent="0.3">
      <c r="B106" s="62"/>
      <c r="C106" s="63"/>
    </row>
    <row r="107" spans="1:9" x14ac:dyDescent="0.3">
      <c r="C107" s="61"/>
    </row>
    <row r="108" spans="1:9" ht="26.45" customHeight="1" x14ac:dyDescent="0.3"/>
  </sheetData>
  <mergeCells count="2">
    <mergeCell ref="A2:B2"/>
    <mergeCell ref="A1:C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8" fitToHeight="2" orientation="portrait" r:id="rId1"/>
  <headerFooter alignWithMargins="0">
    <oddFooter>&amp;R&amp;20&amp;P</oddFooter>
  </headerFooter>
  <rowBreaks count="1" manualBreakCount="1">
    <brk id="6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40" activePane="bottomRight" state="frozen"/>
      <selection activeCell="J27" sqref="J27"/>
      <selection pane="topRight" activeCell="J27" sqref="J27"/>
      <selection pane="bottomLeft" activeCell="J27" sqref="J27"/>
      <selection pane="bottomRight" activeCell="C74" sqref="C74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163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769370</v>
      </c>
      <c r="D6" s="23">
        <f>D7+D8+D9+D16+D17+D18+D19+D20+D21+D22+D23+D24+D25+D26+D30+D31+D33+D34+D35+D36+D37+D39</f>
        <v>769370</v>
      </c>
      <c r="E6" s="23" t="str">
        <f>IF(C6=D6,"-",D6-C6)</f>
        <v>-</v>
      </c>
      <c r="F6" s="38">
        <f>IF(C6=0,"-",D6/C6)</f>
        <v>1</v>
      </c>
    </row>
    <row r="7" spans="1:6" ht="24.95" customHeight="1" x14ac:dyDescent="0.2">
      <c r="A7" s="4" t="s">
        <v>1</v>
      </c>
      <c r="B7" s="24" t="s">
        <v>115</v>
      </c>
      <c r="C7" s="25">
        <v>0</v>
      </c>
      <c r="D7" s="25">
        <f>C7</f>
        <v>0</v>
      </c>
      <c r="E7" s="25" t="str">
        <f t="shared" ref="E7:E72" si="0">IF(C7=D7,"-",D7-C7)</f>
        <v>-</v>
      </c>
      <c r="F7" s="38" t="str">
        <f t="shared" ref="F7:F72" si="1">IF(C7=0,"-",D7/C7)</f>
        <v>-</v>
      </c>
    </row>
    <row r="8" spans="1:6" ht="24.95" customHeight="1" x14ac:dyDescent="0.2">
      <c r="A8" s="4" t="s">
        <v>2</v>
      </c>
      <c r="B8" s="24" t="s">
        <v>116</v>
      </c>
      <c r="C8" s="25">
        <v>0</v>
      </c>
      <c r="D8" s="25">
        <f>C8</f>
        <v>0</v>
      </c>
      <c r="E8" s="25" t="str">
        <f t="shared" si="0"/>
        <v>-</v>
      </c>
      <c r="F8" s="38" t="str">
        <f t="shared" si="1"/>
        <v>-</v>
      </c>
    </row>
    <row r="9" spans="1:6" ht="24.95" customHeight="1" x14ac:dyDescent="0.2">
      <c r="A9" s="4" t="s">
        <v>3</v>
      </c>
      <c r="B9" s="24" t="s">
        <v>113</v>
      </c>
      <c r="C9" s="25">
        <v>0</v>
      </c>
      <c r="D9" s="25">
        <f t="shared" ref="D9:D36" si="2">C9</f>
        <v>0</v>
      </c>
      <c r="E9" s="25" t="str">
        <f t="shared" si="0"/>
        <v>-</v>
      </c>
      <c r="F9" s="38" t="str">
        <f t="shared" si="1"/>
        <v>-</v>
      </c>
    </row>
    <row r="10" spans="1:6" ht="24.95" customHeight="1" x14ac:dyDescent="0.2">
      <c r="A10" s="26" t="s">
        <v>54</v>
      </c>
      <c r="B10" s="27" t="s">
        <v>189</v>
      </c>
      <c r="C10" s="25">
        <v>0</v>
      </c>
      <c r="D10" s="25">
        <f t="shared" si="2"/>
        <v>0</v>
      </c>
      <c r="E10" s="25" t="str">
        <f t="shared" si="0"/>
        <v>-</v>
      </c>
      <c r="F10" s="38" t="str">
        <f t="shared" si="1"/>
        <v>-</v>
      </c>
    </row>
    <row r="11" spans="1:6" ht="24.95" customHeight="1" x14ac:dyDescent="0.2">
      <c r="A11" s="26" t="s">
        <v>138</v>
      </c>
      <c r="B11" s="27" t="s">
        <v>141</v>
      </c>
      <c r="C11" s="25">
        <v>0</v>
      </c>
      <c r="D11" s="25">
        <f t="shared" si="2"/>
        <v>0</v>
      </c>
      <c r="E11" s="25" t="str">
        <f t="shared" si="0"/>
        <v>-</v>
      </c>
      <c r="F11" s="38" t="str">
        <f t="shared" si="1"/>
        <v>-</v>
      </c>
    </row>
    <row r="12" spans="1:6" ht="24.95" customHeight="1" x14ac:dyDescent="0.2">
      <c r="A12" s="26" t="s">
        <v>139</v>
      </c>
      <c r="B12" s="27" t="s">
        <v>142</v>
      </c>
      <c r="C12" s="25">
        <v>0</v>
      </c>
      <c r="D12" s="25">
        <f t="shared" si="2"/>
        <v>0</v>
      </c>
      <c r="E12" s="25" t="str">
        <f t="shared" si="0"/>
        <v>-</v>
      </c>
      <c r="F12" s="38" t="str">
        <f t="shared" si="1"/>
        <v>-</v>
      </c>
    </row>
    <row r="13" spans="1:6" ht="24.95" customHeight="1" x14ac:dyDescent="0.2">
      <c r="A13" s="26" t="s">
        <v>140</v>
      </c>
      <c r="B13" s="27" t="s">
        <v>143</v>
      </c>
      <c r="C13" s="25">
        <v>0</v>
      </c>
      <c r="D13" s="25">
        <f t="shared" si="2"/>
        <v>0</v>
      </c>
      <c r="E13" s="25" t="str">
        <f t="shared" si="0"/>
        <v>-</v>
      </c>
      <c r="F13" s="38" t="str">
        <f t="shared" si="1"/>
        <v>-</v>
      </c>
    </row>
    <row r="14" spans="1:6" ht="24.95" customHeight="1" x14ac:dyDescent="0.2">
      <c r="A14" s="26" t="s">
        <v>200</v>
      </c>
      <c r="B14" s="27" t="s">
        <v>199</v>
      </c>
      <c r="C14" s="25">
        <v>0</v>
      </c>
      <c r="D14" s="25">
        <f t="shared" si="2"/>
        <v>0</v>
      </c>
      <c r="E14" s="25" t="str">
        <f t="shared" si="0"/>
        <v>-</v>
      </c>
      <c r="F14" s="38" t="str">
        <f t="shared" si="1"/>
        <v>-</v>
      </c>
    </row>
    <row r="15" spans="1:6" ht="24.95" customHeight="1" x14ac:dyDescent="0.2">
      <c r="A15" s="26" t="s">
        <v>202</v>
      </c>
      <c r="B15" s="27" t="s">
        <v>201</v>
      </c>
      <c r="C15" s="25">
        <v>0</v>
      </c>
      <c r="D15" s="25">
        <f t="shared" si="2"/>
        <v>0</v>
      </c>
      <c r="E15" s="25" t="str">
        <f t="shared" si="0"/>
        <v>-</v>
      </c>
      <c r="F15" s="38" t="str">
        <f t="shared" si="1"/>
        <v>-</v>
      </c>
    </row>
    <row r="16" spans="1:6" ht="24.95" customHeight="1" x14ac:dyDescent="0.2">
      <c r="A16" s="4" t="s">
        <v>4</v>
      </c>
      <c r="B16" s="24" t="s">
        <v>121</v>
      </c>
      <c r="C16" s="25">
        <v>0</v>
      </c>
      <c r="D16" s="25">
        <f t="shared" si="2"/>
        <v>0</v>
      </c>
      <c r="E16" s="25" t="str">
        <f t="shared" si="0"/>
        <v>-</v>
      </c>
      <c r="F16" s="38" t="str">
        <f t="shared" si="1"/>
        <v>-</v>
      </c>
    </row>
    <row r="17" spans="1:6" ht="24.95" customHeight="1" x14ac:dyDescent="0.2">
      <c r="A17" s="4" t="s">
        <v>5</v>
      </c>
      <c r="B17" s="24" t="s">
        <v>117</v>
      </c>
      <c r="C17" s="25">
        <v>0</v>
      </c>
      <c r="D17" s="25">
        <f t="shared" si="2"/>
        <v>0</v>
      </c>
      <c r="E17" s="25" t="str">
        <f t="shared" si="0"/>
        <v>-</v>
      </c>
      <c r="F17" s="38" t="str">
        <f t="shared" si="1"/>
        <v>-</v>
      </c>
    </row>
    <row r="18" spans="1:6" ht="24.95" customHeight="1" x14ac:dyDescent="0.2">
      <c r="A18" s="4" t="s">
        <v>6</v>
      </c>
      <c r="B18" s="24" t="s">
        <v>123</v>
      </c>
      <c r="C18" s="25">
        <v>0</v>
      </c>
      <c r="D18" s="25">
        <f t="shared" si="2"/>
        <v>0</v>
      </c>
      <c r="E18" s="25" t="str">
        <f t="shared" si="0"/>
        <v>-</v>
      </c>
      <c r="F18" s="38" t="str">
        <f t="shared" si="1"/>
        <v>-</v>
      </c>
    </row>
    <row r="19" spans="1:6" ht="24.95" customHeight="1" x14ac:dyDescent="0.2">
      <c r="A19" s="4" t="s">
        <v>7</v>
      </c>
      <c r="B19" s="24" t="s">
        <v>122</v>
      </c>
      <c r="C19" s="25">
        <v>0</v>
      </c>
      <c r="D19" s="25">
        <f t="shared" si="2"/>
        <v>0</v>
      </c>
      <c r="E19" s="25" t="str">
        <f t="shared" si="0"/>
        <v>-</v>
      </c>
      <c r="F19" s="38" t="str">
        <f t="shared" si="1"/>
        <v>-</v>
      </c>
    </row>
    <row r="20" spans="1:6" ht="24.95" customHeight="1" x14ac:dyDescent="0.2">
      <c r="A20" s="4" t="s">
        <v>8</v>
      </c>
      <c r="B20" s="24" t="s">
        <v>118</v>
      </c>
      <c r="C20" s="25">
        <v>0</v>
      </c>
      <c r="D20" s="25">
        <f t="shared" si="2"/>
        <v>0</v>
      </c>
      <c r="E20" s="25" t="str">
        <f t="shared" si="0"/>
        <v>-</v>
      </c>
      <c r="F20" s="38" t="str">
        <f t="shared" si="1"/>
        <v>-</v>
      </c>
    </row>
    <row r="21" spans="1:6" ht="24.95" customHeight="1" x14ac:dyDescent="0.2">
      <c r="A21" s="4" t="s">
        <v>9</v>
      </c>
      <c r="B21" s="24" t="s">
        <v>119</v>
      </c>
      <c r="C21" s="25">
        <v>0</v>
      </c>
      <c r="D21" s="25">
        <f t="shared" si="2"/>
        <v>0</v>
      </c>
      <c r="E21" s="25" t="str">
        <f t="shared" si="0"/>
        <v>-</v>
      </c>
      <c r="F21" s="38" t="str">
        <f t="shared" si="1"/>
        <v>-</v>
      </c>
    </row>
    <row r="22" spans="1:6" ht="24.95" customHeight="1" x14ac:dyDescent="0.2">
      <c r="A22" s="4" t="s">
        <v>10</v>
      </c>
      <c r="B22" s="24" t="s">
        <v>124</v>
      </c>
      <c r="C22" s="25">
        <v>0</v>
      </c>
      <c r="D22" s="25">
        <f t="shared" si="2"/>
        <v>0</v>
      </c>
      <c r="E22" s="25" t="str">
        <f t="shared" si="0"/>
        <v>-</v>
      </c>
      <c r="F22" s="38" t="str">
        <f t="shared" si="1"/>
        <v>-</v>
      </c>
    </row>
    <row r="23" spans="1:6" ht="24.95" customHeight="1" x14ac:dyDescent="0.2">
      <c r="A23" s="4" t="s">
        <v>11</v>
      </c>
      <c r="B23" s="24" t="s">
        <v>120</v>
      </c>
      <c r="C23" s="25">
        <v>0</v>
      </c>
      <c r="D23" s="25">
        <f t="shared" si="2"/>
        <v>0</v>
      </c>
      <c r="E23" s="25" t="str">
        <f t="shared" si="0"/>
        <v>-</v>
      </c>
      <c r="F23" s="38" t="str">
        <f t="shared" si="1"/>
        <v>-</v>
      </c>
    </row>
    <row r="24" spans="1:6" ht="24.95" customHeight="1" x14ac:dyDescent="0.2">
      <c r="A24" s="4" t="s">
        <v>12</v>
      </c>
      <c r="B24" s="24" t="s">
        <v>159</v>
      </c>
      <c r="C24" s="25">
        <v>0</v>
      </c>
      <c r="D24" s="25">
        <f t="shared" si="2"/>
        <v>0</v>
      </c>
      <c r="E24" s="25" t="str">
        <f t="shared" si="0"/>
        <v>-</v>
      </c>
      <c r="F24" s="38" t="str">
        <f t="shared" si="1"/>
        <v>-</v>
      </c>
    </row>
    <row r="25" spans="1:6" ht="24.95" customHeight="1" x14ac:dyDescent="0.2">
      <c r="A25" s="4" t="s">
        <v>13</v>
      </c>
      <c r="B25" s="24" t="s">
        <v>144</v>
      </c>
      <c r="C25" s="25">
        <v>0</v>
      </c>
      <c r="D25" s="25">
        <f t="shared" si="2"/>
        <v>0</v>
      </c>
      <c r="E25" s="25" t="str">
        <f t="shared" si="0"/>
        <v>-</v>
      </c>
      <c r="F25" s="38" t="str">
        <f t="shared" si="1"/>
        <v>-</v>
      </c>
    </row>
    <row r="26" spans="1:6" ht="24.95" customHeight="1" x14ac:dyDescent="0.2">
      <c r="A26" s="26" t="s">
        <v>14</v>
      </c>
      <c r="B26" s="24" t="s">
        <v>173</v>
      </c>
      <c r="C26" s="25">
        <v>0</v>
      </c>
      <c r="D26" s="25">
        <f>SUM(D27:D29)</f>
        <v>0</v>
      </c>
      <c r="E26" s="25" t="str">
        <f t="shared" si="0"/>
        <v>-</v>
      </c>
      <c r="F26" s="38" t="str">
        <f t="shared" si="1"/>
        <v>-</v>
      </c>
    </row>
    <row r="27" spans="1:6" ht="37.5" x14ac:dyDescent="0.2">
      <c r="A27" s="4" t="s">
        <v>125</v>
      </c>
      <c r="B27" s="27" t="s">
        <v>146</v>
      </c>
      <c r="C27" s="25">
        <v>0</v>
      </c>
      <c r="D27" s="25">
        <f t="shared" si="2"/>
        <v>0</v>
      </c>
      <c r="E27" s="25" t="str">
        <f t="shared" si="0"/>
        <v>-</v>
      </c>
      <c r="F27" s="38" t="str">
        <f t="shared" si="1"/>
        <v>-</v>
      </c>
    </row>
    <row r="28" spans="1:6" ht="24.95" customHeight="1" x14ac:dyDescent="0.2">
      <c r="A28" s="26" t="s">
        <v>145</v>
      </c>
      <c r="B28" s="27" t="s">
        <v>148</v>
      </c>
      <c r="C28" s="25">
        <v>0</v>
      </c>
      <c r="D28" s="25">
        <f t="shared" si="2"/>
        <v>0</v>
      </c>
      <c r="E28" s="25" t="str">
        <f t="shared" si="0"/>
        <v>-</v>
      </c>
      <c r="F28" s="38" t="str">
        <f t="shared" si="1"/>
        <v>-</v>
      </c>
    </row>
    <row r="29" spans="1:6" ht="24.75" customHeight="1" x14ac:dyDescent="0.2">
      <c r="A29" s="26" t="s">
        <v>149</v>
      </c>
      <c r="B29" s="27" t="s">
        <v>147</v>
      </c>
      <c r="C29" s="25">
        <v>0</v>
      </c>
      <c r="D29" s="25">
        <f t="shared" si="2"/>
        <v>0</v>
      </c>
      <c r="E29" s="25" t="str">
        <f t="shared" si="0"/>
        <v>-</v>
      </c>
      <c r="F29" s="38" t="str">
        <f t="shared" si="1"/>
        <v>-</v>
      </c>
    </row>
    <row r="30" spans="1:6" ht="24.95" customHeight="1" x14ac:dyDescent="0.2">
      <c r="A30" s="5" t="s">
        <v>15</v>
      </c>
      <c r="B30" s="28" t="s">
        <v>110</v>
      </c>
      <c r="C30" s="25">
        <v>719370</v>
      </c>
      <c r="D30" s="25">
        <f t="shared" si="2"/>
        <v>719370</v>
      </c>
      <c r="E30" s="25" t="str">
        <f t="shared" si="0"/>
        <v>-</v>
      </c>
      <c r="F30" s="38">
        <f t="shared" si="1"/>
        <v>1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>C31</f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0</v>
      </c>
      <c r="D34" s="25">
        <f t="shared" si="2"/>
        <v>0</v>
      </c>
      <c r="E34" s="25" t="str">
        <f t="shared" si="0"/>
        <v>-</v>
      </c>
      <c r="F34" s="38" t="str">
        <f t="shared" si="1"/>
        <v>-</v>
      </c>
    </row>
    <row r="35" spans="1:21" ht="24.95" customHeight="1" x14ac:dyDescent="0.2">
      <c r="A35" s="5" t="s">
        <v>174</v>
      </c>
      <c r="B35" s="29" t="s">
        <v>175</v>
      </c>
      <c r="C35" s="25">
        <v>50000</v>
      </c>
      <c r="D35" s="25">
        <f>C35</f>
        <v>50000</v>
      </c>
      <c r="E35" s="25" t="str">
        <f>IF(C35=D35,"-",D35-C35)</f>
        <v>-</v>
      </c>
      <c r="F35" s="38">
        <f>IF(C35=0,"-",D35/C35)</f>
        <v>1</v>
      </c>
    </row>
    <row r="36" spans="1:21" ht="24.95" customHeight="1" x14ac:dyDescent="0.2">
      <c r="A36" s="5" t="s">
        <v>181</v>
      </c>
      <c r="B36" s="29" t="s">
        <v>182</v>
      </c>
      <c r="C36" s="25">
        <v>0</v>
      </c>
      <c r="D36" s="25">
        <f t="shared" si="2"/>
        <v>0</v>
      </c>
      <c r="E36" s="25" t="str">
        <f>IF(C36=D36,"-",D36-C36)</f>
        <v>-</v>
      </c>
      <c r="F36" s="38" t="str">
        <f>IF(C36=0,"-",D36/C36)</f>
        <v>-</v>
      </c>
    </row>
    <row r="37" spans="1:21" ht="24.95" customHeight="1" x14ac:dyDescent="0.2">
      <c r="A37" s="5" t="s">
        <v>188</v>
      </c>
      <c r="B37" s="29" t="s">
        <v>215</v>
      </c>
      <c r="C37" s="25">
        <v>0</v>
      </c>
      <c r="D37" s="25">
        <f t="shared" ref="D37:D39" si="3">C37</f>
        <v>0</v>
      </c>
      <c r="E37" s="25" t="str">
        <f>IF(C37=D37,"-",D37-C37)</f>
        <v>-</v>
      </c>
      <c r="F37" s="38" t="str">
        <f>IF(C37=0,"-",D37/C37)</f>
        <v>-</v>
      </c>
    </row>
    <row r="38" spans="1:21" ht="24.95" customHeight="1" x14ac:dyDescent="0.2">
      <c r="A38" s="53" t="s">
        <v>203</v>
      </c>
      <c r="B38" s="1" t="s">
        <v>205</v>
      </c>
      <c r="C38" s="25">
        <v>0</v>
      </c>
      <c r="D38" s="25">
        <f t="shared" si="3"/>
        <v>0</v>
      </c>
      <c r="E38" s="25" t="str">
        <f t="shared" ref="E38:E40" si="4">IF(C38=D38,"-",D38-C38)</f>
        <v>-</v>
      </c>
      <c r="F38" s="38" t="str">
        <f t="shared" ref="F38:F40" si="5">IF(C38=0,"-",D38/C38)</f>
        <v>-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0</v>
      </c>
      <c r="D40" s="32">
        <f>C40</f>
        <v>0</v>
      </c>
      <c r="E40" s="25" t="str">
        <f t="shared" si="4"/>
        <v>-</v>
      </c>
      <c r="F40" s="38" t="str">
        <f t="shared" si="5"/>
        <v>-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0</v>
      </c>
      <c r="D41" s="32">
        <f>C41</f>
        <v>0</v>
      </c>
      <c r="E41" s="32" t="str">
        <f t="shared" si="0"/>
        <v>-</v>
      </c>
      <c r="F41" s="39" t="str">
        <f t="shared" si="1"/>
        <v>-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0</v>
      </c>
      <c r="D42" s="32">
        <f>C42</f>
        <v>0</v>
      </c>
      <c r="E42" s="32" t="str">
        <f t="shared" si="0"/>
        <v>-</v>
      </c>
      <c r="F42" s="39" t="str">
        <f t="shared" si="1"/>
        <v>-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100000</v>
      </c>
      <c r="D43" s="32">
        <f>C43</f>
        <v>100000</v>
      </c>
      <c r="E43" s="32" t="str">
        <f t="shared" si="0"/>
        <v>-</v>
      </c>
      <c r="F43" s="39">
        <f t="shared" si="1"/>
        <v>1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0</v>
      </c>
      <c r="D44" s="32">
        <f t="shared" ref="D44:D47" si="6">C44</f>
        <v>0</v>
      </c>
      <c r="E44" s="32" t="str">
        <f t="shared" si="0"/>
        <v>-</v>
      </c>
      <c r="F44" s="39" t="str">
        <f t="shared" si="1"/>
        <v>-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0</v>
      </c>
      <c r="D45" s="32">
        <f>D11+D13+D14+D26+D32+D42+D44</f>
        <v>0</v>
      </c>
      <c r="E45" s="32" t="str">
        <f t="shared" si="0"/>
        <v>-</v>
      </c>
      <c r="F45" s="39" t="str">
        <f t="shared" si="1"/>
        <v>-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372532</v>
      </c>
      <c r="D46" s="32">
        <f t="shared" si="6"/>
        <v>372532</v>
      </c>
      <c r="E46" s="32" t="str">
        <f t="shared" si="0"/>
        <v>-</v>
      </c>
      <c r="F46" s="39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5647</v>
      </c>
      <c r="D47" s="25">
        <f t="shared" si="6"/>
        <v>5647</v>
      </c>
      <c r="E47" s="32" t="str">
        <f t="shared" si="0"/>
        <v>-</v>
      </c>
      <c r="F47" s="39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175052</v>
      </c>
      <c r="D48" s="25">
        <f t="shared" ref="D48:D66" si="7">C48</f>
        <v>175052</v>
      </c>
      <c r="E48" s="32" t="str">
        <f t="shared" si="0"/>
        <v>-</v>
      </c>
      <c r="F48" s="39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1968</v>
      </c>
      <c r="D49" s="25">
        <f>D50+D52+D53+D54+D55+D56</f>
        <v>1968</v>
      </c>
      <c r="E49" s="32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100</v>
      </c>
      <c r="D50" s="25">
        <f t="shared" si="7"/>
        <v>100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100</v>
      </c>
      <c r="D51" s="25">
        <f t="shared" si="7"/>
        <v>100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94</v>
      </c>
      <c r="D52" s="25">
        <f t="shared" si="7"/>
        <v>94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15</v>
      </c>
      <c r="D53" s="25">
        <f t="shared" si="7"/>
        <v>15</v>
      </c>
      <c r="E53" s="25" t="str">
        <f t="shared" si="0"/>
        <v>-</v>
      </c>
      <c r="F53" s="38">
        <f t="shared" si="1"/>
        <v>1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7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1558</v>
      </c>
      <c r="D55" s="25">
        <f t="shared" si="7"/>
        <v>1558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201</v>
      </c>
      <c r="D56" s="25">
        <f t="shared" si="7"/>
        <v>201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111917</v>
      </c>
      <c r="D57" s="25">
        <f t="shared" si="7"/>
        <v>111917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778</v>
      </c>
      <c r="D58" s="25">
        <f t="shared" si="7"/>
        <v>778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26170</v>
      </c>
      <c r="D59" s="25">
        <f>D60+D61+D62+D63</f>
        <v>26170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19211</v>
      </c>
      <c r="D60" s="25">
        <f t="shared" si="7"/>
        <v>19211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2749</v>
      </c>
      <c r="D61" s="25">
        <f t="shared" si="7"/>
        <v>2749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7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4210</v>
      </c>
      <c r="D63" s="25">
        <f t="shared" si="7"/>
        <v>4210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50</v>
      </c>
      <c r="D64" s="25">
        <f t="shared" si="7"/>
        <v>50</v>
      </c>
      <c r="E64" s="25" t="str">
        <f t="shared" si="0"/>
        <v>-</v>
      </c>
      <c r="F64" s="38">
        <f t="shared" si="1"/>
        <v>1</v>
      </c>
    </row>
    <row r="65" spans="1:6" ht="24.95" customHeight="1" x14ac:dyDescent="0.2">
      <c r="A65" s="5" t="s">
        <v>25</v>
      </c>
      <c r="B65" s="29" t="s">
        <v>156</v>
      </c>
      <c r="C65" s="25">
        <v>47946</v>
      </c>
      <c r="D65" s="25">
        <f t="shared" si="7"/>
        <v>47946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3782</v>
      </c>
      <c r="D66" s="25">
        <f t="shared" si="7"/>
        <v>3782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536425</v>
      </c>
      <c r="D67" s="23">
        <f>D68+D69+D70+D71</f>
        <v>609219</v>
      </c>
      <c r="E67" s="23">
        <f t="shared" si="0"/>
        <v>72794</v>
      </c>
      <c r="F67" s="38">
        <f t="shared" si="1"/>
        <v>1.1356999999999999</v>
      </c>
    </row>
    <row r="68" spans="1:6" ht="24.95" customHeight="1" x14ac:dyDescent="0.2">
      <c r="A68" s="5" t="s">
        <v>99</v>
      </c>
      <c r="B68" s="29" t="s">
        <v>212</v>
      </c>
      <c r="C68" s="25">
        <v>800</v>
      </c>
      <c r="D68" s="25">
        <f>C68-257</f>
        <v>543</v>
      </c>
      <c r="E68" s="25">
        <f t="shared" si="0"/>
        <v>-257</v>
      </c>
      <c r="F68" s="38">
        <f t="shared" si="1"/>
        <v>0.67879999999999996</v>
      </c>
    </row>
    <row r="69" spans="1:6" ht="24.95" customHeight="1" x14ac:dyDescent="0.2">
      <c r="A69" s="5" t="s">
        <v>28</v>
      </c>
      <c r="B69" s="29" t="s">
        <v>53</v>
      </c>
      <c r="C69" s="25">
        <v>0</v>
      </c>
      <c r="D69" s="25">
        <f>C69+12</f>
        <v>12</v>
      </c>
      <c r="E69" s="25">
        <f t="shared" si="0"/>
        <v>12</v>
      </c>
      <c r="F69" s="38" t="str">
        <f t="shared" si="1"/>
        <v>-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535625</v>
      </c>
      <c r="D71" s="25">
        <f>C71-176961+250000</f>
        <v>608664</v>
      </c>
      <c r="E71" s="25">
        <f t="shared" si="0"/>
        <v>73039</v>
      </c>
      <c r="F71" s="38">
        <f t="shared" si="1"/>
        <v>1.1364000000000001</v>
      </c>
    </row>
    <row r="72" spans="1:6" ht="24.95" customHeight="1" x14ac:dyDescent="0.2">
      <c r="A72" s="36" t="s">
        <v>133</v>
      </c>
      <c r="B72" s="31" t="s">
        <v>112</v>
      </c>
      <c r="C72" s="32">
        <v>10182</v>
      </c>
      <c r="D72" s="32">
        <f>C72+55318</f>
        <v>65500</v>
      </c>
      <c r="E72" s="32">
        <f t="shared" si="0"/>
        <v>55318</v>
      </c>
      <c r="F72" s="38">
        <f t="shared" si="1"/>
        <v>6.4329000000000001</v>
      </c>
    </row>
    <row r="74" spans="1:6" x14ac:dyDescent="0.2">
      <c r="B74" s="37"/>
    </row>
  </sheetData>
  <mergeCells count="1">
    <mergeCell ref="A1:C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1" orientation="portrait" r:id="rId1"/>
  <headerFooter alignWithMargins="0"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4"/>
  <sheetViews>
    <sheetView showGridLines="0" view="pageBreakPreview" zoomScale="80" zoomScaleNormal="60" zoomScaleSheetLayoutView="80" workbookViewId="0">
      <pane xSplit="2" ySplit="6" topLeftCell="C7" activePane="bottomRight" state="frozen"/>
      <selection activeCell="A2" sqref="A2:B2"/>
      <selection pane="topRight" activeCell="A2" sqref="A2:B2"/>
      <selection pane="bottomLeft" activeCell="A2" sqref="A2:B2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164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101413883</v>
      </c>
      <c r="D6" s="23">
        <f>D7+D8+D9+D16+D17+D18+D19+D20+D21+D22+D23+D24+D25+D26+D30+D31+D33+D34+D35+D36+D37+D39</f>
        <v>101481085</v>
      </c>
      <c r="E6" s="23">
        <f>IF(C6=D6,"-",D6-C6)</f>
        <v>67202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f>Dolnośląski!C7+KujawskoPomorski!C7+Lubelski!C7+Lubuski!C7+Łódzki!C7+Małopolski!C7+Mazowiecki!C7+Opolski!C7+Podkarpacki!C7+Podlaski!C7+Pomorski!C7+Śląski!C7+Świętokrzyski!C7+WarmińskoMazurski!C7+Wielkopolski!C7+Zachodniopomorski!C7</f>
        <v>13845775</v>
      </c>
      <c r="D7" s="25">
        <f>Dolnośląski!D7+KujawskoPomorski!D7+Lubelski!D7+Lubuski!D7+Łódzki!D7+Małopolski!D7+Mazowiecki!D7+Opolski!D7+Podkarpacki!D7+Podlaski!D7+Pomorski!D7+Śląski!D7+Świętokrzyski!D7+WarmińskoMazurski!D7+Wielkopolski!D7+Zachodniopomorski!D7</f>
        <v>13845775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f>Dolnośląski!C8+KujawskoPomorski!C8+Lubelski!C8+Lubuski!C8+Łódzki!C8+Małopolski!C8+Mazowiecki!C8+Opolski!C8+Podkarpacki!C8+Podlaski!C8+Pomorski!C8+Śląski!C8+Świętokrzyski!C8+WarmińskoMazurski!C8+Wielkopolski!C8+Zachodniopomorski!C8</f>
        <v>5787698</v>
      </c>
      <c r="D8" s="25">
        <f>Dolnośląski!D8+KujawskoPomorski!D8+Lubelski!D8+Lubuski!D8+Łódzki!D8+Małopolski!D8+Mazowiecki!D8+Opolski!D8+Podkarpacki!D8+Podlaski!D8+Pomorski!D8+Śląski!D8+Świętokrzyski!D8+WarmińskoMazurski!D8+Wielkopolski!D8+Zachodniopomorski!D8</f>
        <v>5787698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f>Dolnośląski!C9+KujawskoPomorski!C9+Lubelski!C9+Lubuski!C9+Łódzki!C9+Małopolski!C9+Mazowiecki!C9+Opolski!C9+Podkarpacki!C9+Podlaski!C9+Pomorski!C9+Śląski!C9+Świętokrzyski!C9+WarmińskoMazurski!C9+Wielkopolski!C9+Zachodniopomorski!C9</f>
        <v>55400999</v>
      </c>
      <c r="D9" s="25">
        <f>Dolnośląski!D9+KujawskoPomorski!D9+Lubelski!D9+Lubuski!D9+Łódzki!D9+Małopolski!D9+Mazowiecki!D9+Opolski!D9+Podkarpacki!D9+Podlaski!D9+Pomorski!D9+Śląski!D9+Świętokrzyski!D9+WarmińskoMazurski!D9+Wielkopolski!D9+Zachodniopomorski!D9</f>
        <v>55468201</v>
      </c>
      <c r="E9" s="25">
        <f t="shared" si="0"/>
        <v>67202</v>
      </c>
      <c r="F9" s="38">
        <f t="shared" si="1"/>
        <v>1.0012000000000001</v>
      </c>
    </row>
    <row r="10" spans="1:6" ht="24.95" customHeight="1" x14ac:dyDescent="0.2">
      <c r="A10" s="26" t="s">
        <v>54</v>
      </c>
      <c r="B10" s="27" t="s">
        <v>189</v>
      </c>
      <c r="C10" s="25">
        <f>Dolnośląski!C10+KujawskoPomorski!C10+Lubelski!C10+Lubuski!C10+Łódzki!C10+Małopolski!C10+Mazowiecki!C10+Opolski!C10+Podkarpacki!C10+Podlaski!C10+Pomorski!C10+Śląski!C10+Świętokrzyski!C10+WarmińskoMazurski!C10+Wielkopolski!C10+Zachodniopomorski!C10</f>
        <v>4990604</v>
      </c>
      <c r="D10" s="25">
        <f>Dolnośląski!D10+KujawskoPomorski!D10+Lubelski!D10+Lubuski!D10+Łódzki!D10+Małopolski!D10+Mazowiecki!D10+Opolski!D10+Podkarpacki!D10+Podlaski!D10+Pomorski!D10+Śląski!D10+Świętokrzyski!D10+WarmińskoMazurski!D10+Wielkopolski!D10+Zachodniopomorski!D10</f>
        <v>4990604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f>Dolnośląski!C11+KujawskoPomorski!C11+Lubelski!C11+Lubuski!C11+Łódzki!C11+Małopolski!C11+Mazowiecki!C11+Opolski!C11+Podkarpacki!C11+Podlaski!C11+Pomorski!C11+Śląski!C11+Świętokrzyski!C11+WarmińskoMazurski!C11+Wielkopolski!C11+Zachodniopomorski!C11</f>
        <v>4490409</v>
      </c>
      <c r="D11" s="25">
        <f>Dolnośląski!D11+KujawskoPomorski!D11+Lubelski!D11+Lubuski!D11+Łódzki!D11+Małopolski!D11+Mazowiecki!D11+Opolski!D11+Podkarpacki!D11+Podlaski!D11+Pomorski!D11+Śląski!D11+Świętokrzyski!D11+WarmińskoMazurski!D11+Wielkopolski!D11+Zachodniopomorski!D11</f>
        <v>4490409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f>Dolnośląski!C12+KujawskoPomorski!C12+Lubelski!C12+Lubuski!C12+Łódzki!C12+Małopolski!C12+Mazowiecki!C12+Opolski!C12+Podkarpacki!C12+Podlaski!C12+Pomorski!C12+Śląski!C12+Świętokrzyski!C12+WarmińskoMazurski!C12+Wielkopolski!C12+Zachodniopomorski!C12</f>
        <v>1515464</v>
      </c>
      <c r="D12" s="25">
        <f>Dolnośląski!D12+KujawskoPomorski!D12+Lubelski!D12+Lubuski!D12+Łódzki!D12+Małopolski!D12+Mazowiecki!D12+Opolski!D12+Podkarpacki!D12+Podlaski!D12+Pomorski!D12+Śląski!D12+Świętokrzyski!D12+WarmińskoMazurski!D12+Wielkopolski!D12+Zachodniopomorski!D12</f>
        <v>1515464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f>Dolnośląski!C13+KujawskoPomorski!C13+Lubelski!C13+Lubuski!C13+Łódzki!C13+Małopolski!C13+Mazowiecki!C13+Opolski!C13+Podkarpacki!C13+Podlaski!C13+Pomorski!C13+Śląski!C13+Świętokrzyski!C13+WarmińskoMazurski!C13+Wielkopolski!C13+Zachodniopomorski!C13</f>
        <v>664705</v>
      </c>
      <c r="D13" s="25">
        <f>Dolnośląski!D13+KujawskoPomorski!D13+Lubelski!D13+Lubuski!D13+Łódzki!D13+Małopolski!D13+Mazowiecki!D13+Opolski!D13+Podkarpacki!D13+Podlaski!D13+Pomorski!D13+Śląski!D13+Świętokrzyski!D13+WarmińskoMazurski!D13+Wielkopolski!D13+Zachodniopomorski!D13</f>
        <v>664705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f>Dolnośląski!C14+KujawskoPomorski!C14+Lubelski!C14+Lubuski!C14+Łódzki!C14+Małopolski!C14+Mazowiecki!C14+Opolski!C14+Podkarpacki!C14+Podlaski!C14+Pomorski!C14+Śląski!C14+Świętokrzyski!C14+WarmińskoMazurski!C14+Wielkopolski!C14+Zachodniopomorski!C14</f>
        <v>31407</v>
      </c>
      <c r="D14" s="25">
        <f>Dolnośląski!D14+KujawskoPomorski!D14+Lubelski!D14+Lubuski!D14+Łódzki!D14+Małopolski!D14+Mazowiecki!D14+Opolski!D14+Podkarpacki!D14+Podlaski!D14+Pomorski!D14+Śląski!D14+Świętokrzyski!D14+WarmińskoMazurski!D14+Wielkopolski!D14+Zachodniopomorski!D14</f>
        <v>31407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f>Dolnośląski!C15+KujawskoPomorski!C15+Lubelski!C15+Lubuski!C15+Łódzki!C15+Małopolski!C15+Mazowiecki!C15+Opolski!C15+Podkarpacki!C15+Podlaski!C15+Pomorski!C15+Śląski!C15+Świętokrzyski!C15+WarmińskoMazurski!C15+Wielkopolski!C15+Zachodniopomorski!C15</f>
        <v>191878</v>
      </c>
      <c r="D15" s="25">
        <f>Dolnośląski!D15+KujawskoPomorski!D15+Lubelski!D15+Lubuski!D15+Łódzki!D15+Małopolski!D15+Mazowiecki!D15+Opolski!D15+Podkarpacki!D15+Podlaski!D15+Pomorski!D15+Śląski!D15+Świętokrzyski!D15+WarmińskoMazurski!D15+Wielkopolski!D15+Zachodniopomorski!D15</f>
        <v>191878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f>Dolnośląski!C16+KujawskoPomorski!C16+Lubelski!C16+Lubuski!C16+Łódzki!C16+Małopolski!C16+Mazowiecki!C16+Opolski!C16+Podkarpacki!C16+Podlaski!C16+Pomorski!C16+Śląski!C16+Świętokrzyski!C16+WarmińskoMazurski!C16+Wielkopolski!C16+Zachodniopomorski!C16</f>
        <v>3277572</v>
      </c>
      <c r="D16" s="25">
        <f>Dolnośląski!D16+KujawskoPomorski!D16+Lubelski!D16+Lubuski!D16+Łódzki!D16+Małopolski!D16+Mazowiecki!D16+Opolski!D16+Podkarpacki!D16+Podlaski!D16+Pomorski!D16+Śląski!D16+Świętokrzyski!D16+WarmińskoMazurski!D16+Wielkopolski!D16+Zachodniopomorski!D16</f>
        <v>3277572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f>Dolnośląski!C17+KujawskoPomorski!C17+Lubelski!C17+Lubuski!C17+Łódzki!C17+Małopolski!C17+Mazowiecki!C17+Opolski!C17+Podkarpacki!C17+Podlaski!C17+Pomorski!C17+Śląski!C17+Świętokrzyski!C17+WarmińskoMazurski!C17+Wielkopolski!C17+Zachodniopomorski!C17</f>
        <v>3229595</v>
      </c>
      <c r="D17" s="25">
        <f>Dolnośląski!D17+KujawskoPomorski!D17+Lubelski!D17+Lubuski!D17+Łódzki!D17+Małopolski!D17+Mazowiecki!D17+Opolski!D17+Podkarpacki!D17+Podlaski!D17+Pomorski!D17+Śląski!D17+Świętokrzyski!D17+WarmińskoMazurski!D17+Wielkopolski!D17+Zachodniopomorski!D17</f>
        <v>3229595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f>Dolnośląski!C18+KujawskoPomorski!C18+Lubelski!C18+Lubuski!C18+Łódzki!C18+Małopolski!C18+Mazowiecki!C18+Opolski!C18+Podkarpacki!C18+Podlaski!C18+Pomorski!C18+Śląski!C18+Świętokrzyski!C18+WarmińskoMazurski!C18+Wielkopolski!C18+Zachodniopomorski!C18</f>
        <v>2101884</v>
      </c>
      <c r="D18" s="25">
        <f>Dolnośląski!D18+KujawskoPomorski!D18+Lubelski!D18+Lubuski!D18+Łódzki!D18+Małopolski!D18+Mazowiecki!D18+Opolski!D18+Podkarpacki!D18+Podlaski!D18+Pomorski!D18+Śląski!D18+Świętokrzyski!D18+WarmińskoMazurski!D18+Wielkopolski!D18+Zachodniopomorski!D18</f>
        <v>2101884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f>Dolnośląski!C19+KujawskoPomorski!C19+Lubelski!C19+Lubuski!C19+Łódzki!C19+Małopolski!C19+Mazowiecki!C19+Opolski!C19+Podkarpacki!C19+Podlaski!C19+Pomorski!C19+Śląski!C19+Świętokrzyski!C19+WarmińskoMazurski!C19+Wielkopolski!C19+Zachodniopomorski!C19</f>
        <v>874983</v>
      </c>
      <c r="D19" s="25">
        <f>Dolnośląski!D19+KujawskoPomorski!D19+Lubelski!D19+Lubuski!D19+Łódzki!D19+Małopolski!D19+Mazowiecki!D19+Opolski!D19+Podkarpacki!D19+Podlaski!D19+Pomorski!D19+Śląski!D19+Świętokrzyski!D19+WarmińskoMazurski!D19+Wielkopolski!D19+Zachodniopomorski!D19</f>
        <v>874983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f>Dolnośląski!C20+KujawskoPomorski!C20+Lubelski!C20+Lubuski!C20+Łódzki!C20+Małopolski!C20+Mazowiecki!C20+Opolski!C20+Podkarpacki!C20+Podlaski!C20+Pomorski!C20+Śląski!C20+Świętokrzyski!C20+WarmińskoMazurski!C20+Wielkopolski!C20+Zachodniopomorski!C20</f>
        <v>1932595</v>
      </c>
      <c r="D20" s="25">
        <f>Dolnośląski!D20+KujawskoPomorski!D20+Lubelski!D20+Lubuski!D20+Łódzki!D20+Małopolski!D20+Mazowiecki!D20+Opolski!D20+Podkarpacki!D20+Podlaski!D20+Pomorski!D20+Śląski!D20+Świętokrzyski!D20+WarmińskoMazurski!D20+Wielkopolski!D20+Zachodniopomorski!D20</f>
        <v>1932595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f>Dolnośląski!C21+KujawskoPomorski!C21+Lubelski!C21+Lubuski!C21+Łódzki!C21+Małopolski!C21+Mazowiecki!C21+Opolski!C21+Podkarpacki!C21+Podlaski!C21+Pomorski!C21+Śląski!C21+Świętokrzyski!C21+WarmińskoMazurski!C21+Wielkopolski!C21+Zachodniopomorski!C21</f>
        <v>815193</v>
      </c>
      <c r="D21" s="25">
        <f>Dolnośląski!D21+KujawskoPomorski!D21+Lubelski!D21+Lubuski!D21+Łódzki!D21+Małopolski!D21+Mazowiecki!D21+Opolski!D21+Podkarpacki!D21+Podlaski!D21+Pomorski!D21+Śląski!D21+Świętokrzyski!D21+WarmińskoMazurski!D21+Wielkopolski!D21+Zachodniopomorski!D21</f>
        <v>815193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f>Dolnośląski!C22+KujawskoPomorski!C22+Lubelski!C22+Lubuski!C22+Łódzki!C22+Małopolski!C22+Mazowiecki!C22+Opolski!C22+Podkarpacki!C22+Podlaski!C22+Pomorski!C22+Śląski!C22+Świętokrzyski!C22+WarmińskoMazurski!C22+Wielkopolski!C22+Zachodniopomorski!C22</f>
        <v>287382</v>
      </c>
      <c r="D22" s="25">
        <f>Dolnośląski!D22+KujawskoPomorski!D22+Lubelski!D22+Lubuski!D22+Łódzki!D22+Małopolski!D22+Mazowiecki!D22+Opolski!D22+Podkarpacki!D22+Podlaski!D22+Pomorski!D22+Śląski!D22+Świętokrzyski!D22+WarmińskoMazurski!D22+Wielkopolski!D22+Zachodniopomorski!D22</f>
        <v>287382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f>Dolnośląski!C23+KujawskoPomorski!C23+Lubelski!C23+Lubuski!C23+Łódzki!C23+Małopolski!C23+Mazowiecki!C23+Opolski!C23+Podkarpacki!C23+Podlaski!C23+Pomorski!C23+Śląski!C23+Świętokrzyski!C23+WarmińskoMazurski!C23+Wielkopolski!C23+Zachodniopomorski!C23</f>
        <v>234374</v>
      </c>
      <c r="D23" s="25">
        <f>Dolnośląski!D23+KujawskoPomorski!D23+Lubelski!D23+Lubuski!D23+Łódzki!D23+Małopolski!D23+Mazowiecki!D23+Opolski!D23+Podkarpacki!D23+Podlaski!D23+Pomorski!D23+Śląski!D23+Świętokrzyski!D23+WarmińskoMazurski!D23+Wielkopolski!D23+Zachodniopomorski!D23</f>
        <v>234374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f>Dolnośląski!C24+KujawskoPomorski!C24+Lubelski!C24+Lubuski!C24+Łódzki!C24+Małopolski!C24+Mazowiecki!C24+Opolski!C24+Podkarpacki!C24+Podlaski!C24+Pomorski!C24+Śląski!C24+Świętokrzyski!C24+WarmińskoMazurski!C24+Wielkopolski!C24+Zachodniopomorski!C24</f>
        <v>2497340</v>
      </c>
      <c r="D24" s="25">
        <f>Dolnośląski!D24+KujawskoPomorski!D24+Lubelski!D24+Lubuski!D24+Łódzki!D24+Małopolski!D24+Mazowiecki!D24+Opolski!D24+Podkarpacki!D24+Podlaski!D24+Pomorski!D24+Śląski!D24+Świętokrzyski!D24+WarmińskoMazurski!D24+Wielkopolski!D24+Zachodniopomorski!D24</f>
        <v>2497340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f>Dolnośląski!C25+KujawskoPomorski!C25+Lubelski!C25+Lubuski!C25+Łódzki!C25+Małopolski!C25+Mazowiecki!C25+Opolski!C25+Podkarpacki!C25+Podlaski!C25+Pomorski!C25+Śląski!C25+Świętokrzyski!C25+WarmińskoMazurski!C25+Wielkopolski!C25+Zachodniopomorski!C25</f>
        <v>1259430</v>
      </c>
      <c r="D25" s="25">
        <f>Dolnośląski!D25+KujawskoPomorski!D25+Lubelski!D25+Lubuski!D25+Łódzki!D25+Małopolski!D25+Mazowiecki!D25+Opolski!D25+Podkarpacki!D25+Podlaski!D25+Pomorski!D25+Śląski!D25+Świętokrzyski!D25+WarmińskoMazurski!D25+Wielkopolski!D25+Zachodniopomorski!D25</f>
        <v>1259430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f>Dolnośląski!C26+KujawskoPomorski!C26+Lubelski!C26+Lubuski!C26+Łódzki!C26+Małopolski!C26+Mazowiecki!C26+Opolski!C26+Podkarpacki!C26+Podlaski!C26+Pomorski!C26+Śląski!C26+Świętokrzyski!C26+WarmińskoMazurski!C26+Wielkopolski!C26+Zachodniopomorski!C26</f>
        <v>8887889</v>
      </c>
      <c r="D26" s="25">
        <f>Dolnośląski!D26+KujawskoPomorski!D26+Lubelski!D26+Lubuski!D26+Łódzki!D26+Małopolski!D26+Mazowiecki!D26+Opolski!D26+Podkarpacki!D26+Podlaski!D26+Pomorski!D26+Śląski!D26+Świętokrzyski!D26+WarmińskoMazurski!D26+Wielkopolski!D26+Zachodniopomorski!D26</f>
        <v>8887889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f>Dolnośląski!C27+KujawskoPomorski!C27+Lubelski!C27+Lubuski!C27+Łódzki!C27+Małopolski!C27+Mazowiecki!C27+Opolski!C27+Podkarpacki!C27+Podlaski!C27+Pomorski!C27+Śląski!C27+Świętokrzyski!C27+WarmińskoMazurski!C27+Wielkopolski!C27+Zachodniopomorski!C27</f>
        <v>8843450</v>
      </c>
      <c r="D27" s="25">
        <f>Dolnośląski!D27+KujawskoPomorski!D27+Lubelski!D27+Lubuski!D27+Łódzki!D27+Małopolski!D27+Mazowiecki!D27+Opolski!D27+Podkarpacki!D27+Podlaski!D27+Pomorski!D27+Śląski!D27+Świętokrzyski!D27+WarmińskoMazurski!D27+Wielkopolski!D27+Zachodniopomorski!D27</f>
        <v>8843450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f>Dolnośląski!C28+KujawskoPomorski!C28+Lubelski!C28+Lubuski!C28+Łódzki!C28+Małopolski!C28+Mazowiecki!C28+Opolski!C28+Podkarpacki!C28+Podlaski!C28+Pomorski!C28+Śląski!C28+Świętokrzyski!C28+WarmińskoMazurski!C28+Wielkopolski!C28+Zachodniopomorski!C28</f>
        <v>24616</v>
      </c>
      <c r="D28" s="25">
        <f>Dolnośląski!D28+KujawskoPomorski!D28+Lubelski!D28+Lubuski!D28+Łódzki!D28+Małopolski!D28+Mazowiecki!D28+Opolski!D28+Podkarpacki!D28+Podlaski!D28+Pomorski!D28+Śląski!D28+Świętokrzyski!D28+WarmińskoMazurski!D28+Wielkopolski!D28+Zachodniopomorski!D28</f>
        <v>24616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f>Dolnośląski!C29+KujawskoPomorski!C29+Lubelski!C29+Lubuski!C29+Łódzki!C29+Małopolski!C29+Mazowiecki!C29+Opolski!C29+Podkarpacki!C29+Podlaski!C29+Pomorski!C29+Śląski!C29+Świętokrzyski!C29+WarmińskoMazurski!C29+Wielkopolski!C29+Zachodniopomorski!C29</f>
        <v>19823</v>
      </c>
      <c r="D29" s="25">
        <f>Dolnośląski!D29+KujawskoPomorski!D29+Lubelski!D29+Lubuski!D29+Łódzki!D29+Małopolski!D29+Mazowiecki!D29+Opolski!D29+Podkarpacki!D29+Podlaski!D29+Pomorski!D29+Śląski!D29+Świętokrzyski!D29+WarmińskoMazurski!D29+Wielkopolski!D29+Zachodniopomorski!D29</f>
        <v>19823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f>Dolnośląski!C30+KujawskoPomorski!C30+Lubelski!C30+Lubuski!C30+Łódzki!C30+Małopolski!C30+Mazowiecki!C30+Opolski!C30+Podkarpacki!C30+Podlaski!C30+Pomorski!C30+Śląski!C30+Świętokrzyski!C30+WarmińskoMazurski!C30+Wielkopolski!C30+Zachodniopomorski!C30</f>
        <v>0</v>
      </c>
      <c r="D30" s="25">
        <f>Dolnośląski!D30+KujawskoPomorski!D30+Lubelski!D30+Lubuski!D30+Łódzki!D30+Małopolski!D30+Mazowiecki!D30+Opolski!D30+Podkarpacki!D30+Podlaski!D30+Pomorski!D30+Śląski!D30+Świętokrzyski!D30+WarmińskoMazurski!D30+Wielkopolski!D30+Zachodniopomorski!D30</f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f>Dolnośląski!C31+KujawskoPomorski!C31+Lubelski!C31+Lubuski!C31+Łódzki!C31+Małopolski!C31+Mazowiecki!C31+Opolski!C31+Podkarpacki!C31+Podlaski!C31+Pomorski!C31+Śląski!C31+Świętokrzyski!C31+WarmińskoMazurski!C31+Wielkopolski!C31+Zachodniopomorski!C31</f>
        <v>0</v>
      </c>
      <c r="D31" s="25">
        <f>Dolnośląski!D31+KujawskoPomorski!D31+Lubelski!D31+Lubuski!D31+Łódzki!D31+Małopolski!D31+Mazowiecki!D31+Opolski!D31+Podkarpacki!D31+Podlaski!D31+Pomorski!D31+Śląski!D31+Świętokrzyski!D31+WarmińskoMazurski!D31+Wielkopolski!D31+Zachodniopomorski!D31</f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f>Dolnośląski!C32+KujawskoPomorski!C32+Lubelski!C32+Lubuski!C32+Łódzki!C32+Małopolski!C32+Mazowiecki!C32+Opolski!C32+Podkarpacki!C32+Podlaski!C32+Pomorski!C32+Śląski!C32+Świętokrzyski!C32+WarmińskoMazurski!C32+Wielkopolski!C32+Zachodniopomorski!C32</f>
        <v>0</v>
      </c>
      <c r="D32" s="25">
        <f>Dolnośląski!D32+KujawskoPomorski!D32+Lubelski!D32+Lubuski!D32+Łódzki!D32+Małopolski!D32+Mazowiecki!D32+Opolski!D32+Podkarpacki!D32+Podlaski!D32+Pomorski!D32+Śląski!D32+Świętokrzyski!D32+WarmińskoMazurski!D32+Wielkopolski!D32+Zachodniopomorski!D32</f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f>Dolnośląski!C33+KujawskoPomorski!C33+Lubelski!C33+Lubuski!C33+Łódzki!C33+Małopolski!C33+Mazowiecki!C33+Opolski!C33+Podkarpacki!C33+Podlaski!C33+Pomorski!C33+Śląski!C33+Świętokrzyski!C33+WarmińskoMazurski!C33+Wielkopolski!C33+Zachodniopomorski!C33</f>
        <v>0</v>
      </c>
      <c r="D33" s="25">
        <f>Dolnośląski!D33+KujawskoPomorski!D33+Lubelski!D33+Lubuski!D33+Łódzki!D33+Małopolski!D33+Mazowiecki!D33+Opolski!D33+Podkarpacki!D33+Podlaski!D33+Pomorski!D33+Śląski!D33+Świętokrzyski!D33+WarmińskoMazurski!D33+Wielkopolski!D33+Zachodniopomorski!D33</f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f>Dolnośląski!C34+KujawskoPomorski!C34+Lubelski!C34+Lubuski!C34+Łódzki!C34+Małopolski!C34+Mazowiecki!C34+Opolski!C34+Podkarpacki!C34+Podlaski!C34+Pomorski!C34+Śląski!C34+Świętokrzyski!C34+WarmińskoMazurski!C34+Wielkopolski!C34+Zachodniopomorski!C34</f>
        <v>378473</v>
      </c>
      <c r="D34" s="25">
        <f>Dolnośląski!D34+KujawskoPomorski!D34+Lubelski!D34+Lubuski!D34+Łódzki!D34+Małopolski!D34+Mazowiecki!D34+Opolski!D34+Podkarpacki!D34+Podlaski!D34+Pomorski!D34+Śląski!D34+Świętokrzyski!D34+WarmińskoMazurski!D34+Wielkopolski!D34+Zachodniopomorski!D34</f>
        <v>378473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f>Dolnośląski!C35+KujawskoPomorski!C35+Lubelski!C35+Lubuski!C35+Łódzki!C35+Małopolski!C35+Mazowiecki!C35+Opolski!C35+Podkarpacki!C35+Podlaski!C35+Pomorski!C35+Śląski!C35+Świętokrzyski!C35+WarmińskoMazurski!C35+Wielkopolski!C35+Zachodniopomorski!C35</f>
        <v>0</v>
      </c>
      <c r="D35" s="25">
        <f>Dolnośląski!D35+KujawskoPomorski!D35+Lubelski!D35+Lubuski!D35+Łódzki!D35+Małopolski!D35+Mazowiecki!D35+Opolski!D35+Podkarpacki!D35+Podlaski!D35+Pomorski!D35+Śląski!D35+Świętokrzyski!D35+WarmińskoMazurski!D35+Wielkopolski!D35+Zachodniopomorski!D35</f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f>Dolnośląski!C36+KujawskoPomorski!C36+Lubelski!C36+Lubuski!C36+Łódzki!C36+Małopolski!C36+Mazowiecki!C36+Opolski!C36+Podkarpacki!C36+Podlaski!C36+Pomorski!C36+Śląski!C36+Świętokrzyski!C36+WarmińskoMazurski!C36+Wielkopolski!C36+Zachodniopomorski!C36</f>
        <v>15488</v>
      </c>
      <c r="D36" s="25">
        <f>Dolnośląski!D36+KujawskoPomorski!D36+Lubelski!D36+Lubuski!D36+Łódzki!D36+Małopolski!D36+Mazowiecki!D36+Opolski!D36+Podkarpacki!D36+Podlaski!D36+Pomorski!D36+Śląski!D36+Świętokrzyski!D36+WarmińskoMazurski!D36+Wielkopolski!D36+Zachodniopomorski!D36</f>
        <v>15488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f>Dolnośląski!C37+KujawskoPomorski!C37+Lubelski!C37+Lubuski!C37+Łódzki!C37+Małopolski!C37+Mazowiecki!C37+Opolski!C37+Podkarpacki!C37+Podlaski!C37+Pomorski!C37+Śląski!C37+Świętokrzyski!C37+WarmińskoMazurski!C37+Wielkopolski!C37+Zachodniopomorski!C37</f>
        <v>587213</v>
      </c>
      <c r="D37" s="25">
        <f>Dolnośląski!D37+KujawskoPomorski!D37+Lubelski!D37+Lubuski!D37+Łódzki!D37+Małopolski!D37+Mazowiecki!D37+Opolski!D37+Podkarpacki!D37+Podlaski!D37+Pomorski!D37+Śląski!D37+Świętokrzyski!D37+WarmińskoMazurski!D37+Wielkopolski!D37+Zachodniopomorski!D37</f>
        <v>587213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f>Dolnośląski!C38+KujawskoPomorski!C38+Lubelski!C38+Lubuski!C38+Łódzki!C38+Małopolski!C38+Mazowiecki!C38+Opolski!C38+Podkarpacki!C38+Podlaski!C38+Pomorski!C38+Śląski!C38+Świętokrzyski!C38+WarmińskoMazurski!C38+Wielkopolski!C38+Zachodniopomorski!C38</f>
        <v>387090</v>
      </c>
      <c r="D38" s="25">
        <f>Dolnośląski!D38+KujawskoPomorski!D38+Lubelski!D38+Lubuski!D38+Łódzki!D38+Małopolski!D38+Mazowiecki!D38+Opolski!D38+Podkarpacki!D38+Podlaski!D38+Pomorski!D38+Śląski!D38+Świętokrzyski!D38+WarmińskoMazurski!D38+Wielkopolski!D38+Zachodniopomorski!D38</f>
        <v>387090</v>
      </c>
      <c r="E38" s="25" t="str">
        <f t="shared" ref="E38:E40" si="2">IF(C38=D38,"-",D38-C38)</f>
        <v>-</v>
      </c>
      <c r="F38" s="38">
        <f t="shared" ref="F38:F40" si="3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f>Dolnośląski!C39+KujawskoPomorski!C39+Lubelski!C39+Lubuski!C39+Łódzki!C39+Małopolski!C39+Mazowiecki!C39+Opolski!C39+Podkarpacki!C39+Podlaski!C39+Pomorski!C39+Śląski!C39+Świętokrzyski!C39+WarmińskoMazurski!C39+Wielkopolski!C39+Zachodniopomorski!C39</f>
        <v>0</v>
      </c>
      <c r="D39" s="25">
        <f>Dolnośląski!D39+KujawskoPomorski!D39+Lubelski!D39+Lubuski!D39+Łódzki!D39+Małopolski!D39+Mazowiecki!D39+Opolski!D39+Podkarpacki!D39+Podlaski!D39+Pomorski!D39+Śląski!D39+Świętokrzyski!D39+WarmińskoMazurski!D39+Wielkopolski!D39+Zachodniopomorski!D39</f>
        <v>0</v>
      </c>
      <c r="E39" s="25" t="str">
        <f t="shared" si="2"/>
        <v>-</v>
      </c>
      <c r="F39" s="38" t="str">
        <f t="shared" si="3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f>Dolnośląski!C40+KujawskoPomorski!C40+Lubelski!C40+Lubuski!C40+Łódzki!C40+Małopolski!C40+Mazowiecki!C40+Opolski!C40+Podkarpacki!C40+Podlaski!C40+Pomorski!C40+Śląski!C40+Świętokrzyski!C40+WarmińskoMazurski!C40+Wielkopolski!C40+Zachodniopomorski!C40</f>
        <v>6099</v>
      </c>
      <c r="D40" s="32">
        <f>Dolnośląski!D40+KujawskoPomorski!D40+Lubelski!D40+Lubuski!D40+Łódzki!D40+Małopolski!D40+Mazowiecki!D40+Opolski!D40+Podkarpacki!D40+Podlaski!D40+Pomorski!D40+Śląski!D40+Świętokrzyski!D40+WarmińskoMazurski!D40+Wielkopolski!D40+Zachodniopomorski!D40</f>
        <v>6099</v>
      </c>
      <c r="E40" s="25" t="str">
        <f t="shared" si="2"/>
        <v>-</v>
      </c>
      <c r="F40" s="38">
        <f t="shared" si="3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f>Dolnośląski!C41+KujawskoPomorski!C41+Lubelski!C41+Lubuski!C41+Łódzki!C41+Małopolski!C41+Mazowiecki!C41+Opolski!C41+Podkarpacki!C41+Podlaski!C41+Pomorski!C41+Śląski!C41+Świętokrzyski!C41+WarmińskoMazurski!C41+Wielkopolski!C41+Zachodniopomorski!C41</f>
        <v>2434224</v>
      </c>
      <c r="D41" s="32">
        <f>Dolnośląski!D41+KujawskoPomorski!D41+Lubelski!D41+Lubuski!D41+Łódzki!D41+Małopolski!D41+Mazowiecki!D41+Opolski!D41+Podkarpacki!D41+Podlaski!D41+Pomorski!D41+Śląski!D41+Świętokrzyski!D41+WarmińskoMazurski!D41+Wielkopolski!D41+Zachodniopomorski!D41</f>
        <v>2434224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f>Dolnośląski!C42+KujawskoPomorski!C42+Lubelski!C42+Lubuski!C42+Łódzki!C42+Małopolski!C42+Mazowiecki!C42+Opolski!C42+Podkarpacki!C42+Podlaski!C42+Pomorski!C42+Śląski!C42+Świętokrzyski!C42+WarmińskoMazurski!C42+Wielkopolski!C42+Zachodniopomorski!C42</f>
        <v>756182</v>
      </c>
      <c r="D42" s="32">
        <f>Dolnośląski!D42+KujawskoPomorski!D42+Lubelski!D42+Lubuski!D42+Łódzki!D42+Małopolski!D42+Mazowiecki!D42+Opolski!D42+Podkarpacki!D42+Podlaski!D42+Pomorski!D42+Śląski!D42+Świętokrzyski!D42+WarmińskoMazurski!D42+Wielkopolski!D42+Zachodniopomorski!D42</f>
        <v>756182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f>Dolnośląski!C43+KujawskoPomorski!C43+Lubelski!C43+Lubuski!C43+Łódzki!C43+Małopolski!C43+Mazowiecki!C43+Opolski!C43+Podkarpacki!C43+Podlaski!C43+Pomorski!C43+Śląski!C43+Świętokrzyski!C43+WarmińskoMazurski!C43+Wielkopolski!C43+Zachodniopomorski!C43</f>
        <v>0</v>
      </c>
      <c r="D43" s="32">
        <f>Dolnośląski!D43+KujawskoPomorski!D43+Lubelski!D43+Lubuski!D43+Łódzki!D43+Małopolski!D43+Mazowiecki!D43+Opolski!D43+Podkarpacki!D43+Podlaski!D43+Pomorski!D43+Śląski!D43+Świętokrzyski!D43+WarmińskoMazurski!D43+Wielkopolski!D43+Zachodniopomorski!D43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f>Dolnośląski!C44+KujawskoPomorski!C44+Lubelski!C44+Lubuski!C44+Łódzki!C44+Małopolski!C44+Mazowiecki!C44+Opolski!C44+Podkarpacki!C44+Podlaski!C44+Pomorski!C44+Śląski!C44+Świętokrzyski!C44+WarmińskoMazurski!C44+Wielkopolski!C44+Zachodniopomorski!C44</f>
        <v>11000</v>
      </c>
      <c r="D44" s="32">
        <f>Dolnośląski!D44+KujawskoPomorski!D44+Lubelski!D44+Lubuski!D44+Łódzki!D44+Małopolski!D44+Mazowiecki!D44+Opolski!D44+Podkarpacki!D44+Podlaski!D44+Pomorski!D44+Śląski!D44+Świętokrzyski!D44+WarmińskoMazurski!D44+Wielkopolski!D44+Zachodniopomorski!D44</f>
        <v>11000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14841592</v>
      </c>
      <c r="D45" s="32">
        <f>D11+D13+D14+D26+D32+D42+D44</f>
        <v>14841592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594486</v>
      </c>
      <c r="D46" s="32">
        <f>Dolnośląski!D46+KujawskoPomorski!D46+Lubelski!D46+Lubuski!D46+Łódzki!D46+Małopolski!D46+Mazowiecki!D46+Opolski!D46+Podkarpacki!D46+Podlaski!D46+Pomorski!D46+Śląski!D46+Świętokrzyski!D46+WarmińskoMazurski!D46+Wielkopolski!D46+Zachodniopomorski!D46</f>
        <v>594486</v>
      </c>
      <c r="E46" s="32" t="str">
        <f t="shared" si="0"/>
        <v>-</v>
      </c>
      <c r="F46" s="39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f>Dolnośląski!C47+KujawskoPomorski!C47+Lubelski!C47+Lubuski!C47+Łódzki!C47+Małopolski!C47+Mazowiecki!C47+Opolski!C47+Podkarpacki!C47+Podlaski!C47+Pomorski!C47+Śląski!C47+Świętokrzyski!C47+WarmińskoMazurski!C47+Wielkopolski!C47+Zachodniopomorski!C47</f>
        <v>23279</v>
      </c>
      <c r="D47" s="25">
        <f>Dolnośląski!D47+KujawskoPomorski!D47+Lubelski!D47+Lubuski!D47+Łódzki!D47+Małopolski!D47+Mazowiecki!D47+Opolski!D47+Podkarpacki!D47+Podlaski!D47+Pomorski!D47+Śląski!D47+Świętokrzyski!D47+WarmińskoMazurski!D47+Wielkopolski!D47+Zachodniopomorski!D47</f>
        <v>23279</v>
      </c>
      <c r="E47" s="32" t="str">
        <f t="shared" si="0"/>
        <v>-</v>
      </c>
      <c r="F47" s="39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f>Dolnośląski!C48+KujawskoPomorski!C48+Lubelski!C48+Lubuski!C48+Łódzki!C48+Małopolski!C48+Mazowiecki!C48+Opolski!C48+Podkarpacki!C48+Podlaski!C48+Pomorski!C48+Śląski!C48+Świętokrzyski!C48+WarmińskoMazurski!C48+Wielkopolski!C48+Zachodniopomorski!C48</f>
        <v>93089</v>
      </c>
      <c r="D48" s="25">
        <f>Dolnośląski!D48+KujawskoPomorski!D48+Lubelski!D48+Lubuski!D48+Łódzki!D48+Małopolski!D48+Mazowiecki!D48+Opolski!D48+Podkarpacki!D48+Podlaski!D48+Pomorski!D48+Śląski!D48+Świętokrzyski!D48+WarmińskoMazurski!D48+Wielkopolski!D48+Zachodniopomorski!D48</f>
        <v>93089</v>
      </c>
      <c r="E48" s="32" t="str">
        <f t="shared" si="0"/>
        <v>-</v>
      </c>
      <c r="F48" s="39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2745</v>
      </c>
      <c r="D49" s="25">
        <f>D50+D52+D53+D54+D55+D56</f>
        <v>2745</v>
      </c>
      <c r="E49" s="32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f>Dolnośląski!C50+KujawskoPomorski!C50+Lubelski!C50+Lubuski!C50+Łódzki!C50+Małopolski!C50+Mazowiecki!C50+Opolski!C50+Podkarpacki!C50+Podlaski!C50+Pomorski!C50+Śląski!C50+Świętokrzyski!C50+WarmińskoMazurski!C50+Wielkopolski!C50+Zachodniopomorski!C50</f>
        <v>572</v>
      </c>
      <c r="D50" s="25">
        <f>Dolnośląski!D50+KujawskoPomorski!D50+Lubelski!D50+Lubuski!D50+Łódzki!D50+Małopolski!D50+Mazowiecki!D50+Opolski!D50+Podkarpacki!D50+Podlaski!D50+Pomorski!D50+Śląski!D50+Świętokrzyski!D50+WarmińskoMazurski!D50+Wielkopolski!D50+Zachodniopomorski!D50</f>
        <v>572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f>Dolnośląski!C51+KujawskoPomorski!C51+Lubelski!C51+Lubuski!C51+Łódzki!C51+Małopolski!C51+Mazowiecki!C51+Opolski!C51+Podkarpacki!C51+Podlaski!C51+Pomorski!C51+Śląski!C51+Świętokrzyski!C51+WarmińskoMazurski!C51+Wielkopolski!C51+Zachodniopomorski!C51</f>
        <v>569</v>
      </c>
      <c r="D51" s="25">
        <f>Dolnośląski!D51+KujawskoPomorski!D51+Lubelski!D51+Lubuski!D51+Łódzki!D51+Małopolski!D51+Mazowiecki!D51+Opolski!D51+Podkarpacki!D51+Podlaski!D51+Pomorski!D51+Śląski!D51+Świętokrzyski!D51+WarmińskoMazurski!D51+Wielkopolski!D51+Zachodniopomorski!D51</f>
        <v>569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f>Dolnośląski!C52+KujawskoPomorski!C52+Lubelski!C52+Lubuski!C52+Łódzki!C52+Małopolski!C52+Mazowiecki!C52+Opolski!C52+Podkarpacki!C52+Podlaski!C52+Pomorski!C52+Śląski!C52+Świętokrzyski!C52+WarmińskoMazurski!C52+Wielkopolski!C52+Zachodniopomorski!C52</f>
        <v>673</v>
      </c>
      <c r="D52" s="25">
        <f>Dolnośląski!D52+KujawskoPomorski!D52+Lubelski!D52+Lubuski!D52+Łódzki!D52+Małopolski!D52+Mazowiecki!D52+Opolski!D52+Podkarpacki!D52+Podlaski!D52+Pomorski!D52+Śląski!D52+Świętokrzyski!D52+WarmińskoMazurski!D52+Wielkopolski!D52+Zachodniopomorski!D52</f>
        <v>673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f>Dolnośląski!C53+KujawskoPomorski!C53+Lubelski!C53+Lubuski!C53+Łódzki!C53+Małopolski!C53+Mazowiecki!C53+Opolski!C53+Podkarpacki!C53+Podlaski!C53+Pomorski!C53+Śląski!C53+Świętokrzyski!C53+WarmińskoMazurski!C53+Wielkopolski!C53+Zachodniopomorski!C53</f>
        <v>8</v>
      </c>
      <c r="D53" s="25">
        <f>Dolnośląski!D53+KujawskoPomorski!D53+Lubelski!D53+Lubuski!D53+Łódzki!D53+Małopolski!D53+Mazowiecki!D53+Opolski!D53+Podkarpacki!D53+Podlaski!D53+Pomorski!D53+Śląski!D53+Świętokrzyski!D53+WarmińskoMazurski!D53+Wielkopolski!D53+Zachodniopomorski!D53</f>
        <v>8</v>
      </c>
      <c r="E53" s="25" t="str">
        <f t="shared" si="0"/>
        <v>-</v>
      </c>
      <c r="F53" s="38">
        <f t="shared" si="1"/>
        <v>1</v>
      </c>
    </row>
    <row r="54" spans="1:6" ht="24.95" customHeight="1" x14ac:dyDescent="0.2">
      <c r="A54" s="5" t="s">
        <v>41</v>
      </c>
      <c r="B54" s="2" t="s">
        <v>34</v>
      </c>
      <c r="C54" s="25">
        <f>Dolnośląski!C54+KujawskoPomorski!C54+Lubelski!C54+Lubuski!C54+Łódzki!C54+Małopolski!C54+Mazowiecki!C54+Opolski!C54+Podkarpacki!C54+Podlaski!C54+Pomorski!C54+Śląski!C54+Świętokrzyski!C54+WarmińskoMazurski!C54+Wielkopolski!C54+Zachodniopomorski!C54</f>
        <v>0</v>
      </c>
      <c r="D54" s="25">
        <f>Dolnośląski!D54+KujawskoPomorski!D54+Lubelski!D54+Lubuski!D54+Łódzki!D54+Małopolski!D54+Mazowiecki!D54+Opolski!D54+Podkarpacki!D54+Podlaski!D54+Pomorski!D54+Śląski!D54+Świętokrzyski!D54+WarmińskoMazurski!D54+Wielkopolski!D54+Zachodniopomorski!D54</f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f>Dolnośląski!C55+KujawskoPomorski!C55+Lubelski!C55+Lubuski!C55+Łódzki!C55+Małopolski!C55+Mazowiecki!C55+Opolski!C55+Podkarpacki!C55+Podlaski!C55+Pomorski!C55+Śląski!C55+Świętokrzyski!C55+WarmińskoMazurski!C55+Wielkopolski!C55+Zachodniopomorski!C55</f>
        <v>1108</v>
      </c>
      <c r="D55" s="25">
        <f>Dolnośląski!D55+KujawskoPomorski!D55+Lubelski!D55+Lubuski!D55+Łódzki!D55+Małopolski!D55+Mazowiecki!D55+Opolski!D55+Podkarpacki!D55+Podlaski!D55+Pomorski!D55+Śląski!D55+Świętokrzyski!D55+WarmińskoMazurski!D55+Wielkopolski!D55+Zachodniopomorski!D55</f>
        <v>1108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f>Dolnośląski!C56+KujawskoPomorski!C56+Lubelski!C56+Lubuski!C56+Łódzki!C56+Małopolski!C56+Mazowiecki!C56+Opolski!C56+Podkarpacki!C56+Podlaski!C56+Pomorski!C56+Śląski!C56+Świętokrzyski!C56+WarmińskoMazurski!C56+Wielkopolski!C56+Zachodniopomorski!C56</f>
        <v>384</v>
      </c>
      <c r="D56" s="25">
        <f>Dolnośląski!D56+KujawskoPomorski!D56+Lubelski!D56+Lubuski!D56+Łódzki!D56+Małopolski!D56+Mazowiecki!D56+Opolski!D56+Podkarpacki!D56+Podlaski!D56+Pomorski!D56+Śląski!D56+Świętokrzyski!D56+WarmińskoMazurski!D56+Wielkopolski!D56+Zachodniopomorski!D56</f>
        <v>384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f>Dolnośląski!C57+KujawskoPomorski!C57+Lubelski!C57+Lubuski!C57+Łódzki!C57+Małopolski!C57+Mazowiecki!C57+Opolski!C57+Podkarpacki!C57+Podlaski!C57+Pomorski!C57+Śląski!C57+Świętokrzyski!C57+WarmińskoMazurski!C57+Wielkopolski!C57+Zachodniopomorski!C57</f>
        <v>341167</v>
      </c>
      <c r="D57" s="25">
        <f>Dolnośląski!D57+KujawskoPomorski!D57+Lubelski!D57+Lubuski!D57+Łódzki!D57+Małopolski!D57+Mazowiecki!D57+Opolski!D57+Podkarpacki!D57+Podlaski!D57+Pomorski!D57+Śląski!D57+Świętokrzyski!D57+WarmińskoMazurski!D57+Wielkopolski!D57+Zachodniopomorski!D57</f>
        <v>341167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f>Dolnośląski!C58+KujawskoPomorski!C58+Lubelski!C58+Lubuski!C58+Łódzki!C58+Małopolski!C58+Mazowiecki!C58+Opolski!C58+Podkarpacki!C58+Podlaski!C58+Pomorski!C58+Śląski!C58+Świętokrzyski!C58+WarmińskoMazurski!C58+Wielkopolski!C58+Zachodniopomorski!C58</f>
        <v>822</v>
      </c>
      <c r="D58" s="25">
        <f>Dolnośląski!D58+KujawskoPomorski!D58+Lubelski!D58+Lubuski!D58+Łódzki!D58+Małopolski!D58+Mazowiecki!D58+Opolski!D58+Podkarpacki!D58+Podlaski!D58+Pomorski!D58+Śląski!D58+Świętokrzyski!D58+WarmińskoMazurski!D58+Wielkopolski!D58+Zachodniopomorski!D58</f>
        <v>822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76414</v>
      </c>
      <c r="D59" s="25">
        <f>D60+D61+D62+D63</f>
        <v>76414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f>Dolnośląski!C60+KujawskoPomorski!C60+Lubelski!C60+Lubuski!C60+Łódzki!C60+Małopolski!C60+Mazowiecki!C60+Opolski!C60+Podkarpacki!C60+Podlaski!C60+Pomorski!C60+Śląski!C60+Świętokrzyski!C60+WarmińskoMazurski!C60+Wielkopolski!C60+Zachodniopomorski!C60</f>
        <v>58441</v>
      </c>
      <c r="D60" s="25">
        <f>Dolnośląski!D60+KujawskoPomorski!D60+Lubelski!D60+Lubuski!D60+Łódzki!D60+Małopolski!D60+Mazowiecki!D60+Opolski!D60+Podkarpacki!D60+Podlaski!D60+Pomorski!D60+Śląski!D60+Świętokrzyski!D60+WarmińskoMazurski!D60+Wielkopolski!D60+Zachodniopomorski!D60</f>
        <v>58441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f>Dolnośląski!C61+KujawskoPomorski!C61+Lubelski!C61+Lubuski!C61+Łódzki!C61+Małopolski!C61+Mazowiecki!C61+Opolski!C61+Podkarpacki!C61+Podlaski!C61+Pomorski!C61+Śląski!C61+Świętokrzyski!C61+WarmińskoMazurski!C61+Wielkopolski!C61+Zachodniopomorski!C61</f>
        <v>8289</v>
      </c>
      <c r="D61" s="25">
        <f>Dolnośląski!D61+KujawskoPomorski!D61+Lubelski!D61+Lubuski!D61+Łódzki!D61+Małopolski!D61+Mazowiecki!D61+Opolski!D61+Podkarpacki!D61+Podlaski!D61+Pomorski!D61+Śląski!D61+Świętokrzyski!D61+WarmińskoMazurski!D61+Wielkopolski!D61+Zachodniopomorski!D61</f>
        <v>8289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f>Dolnośląski!C62+KujawskoPomorski!C62+Lubelski!C62+Lubuski!C62+Łódzki!C62+Małopolski!C62+Mazowiecki!C62+Opolski!C62+Podkarpacki!C62+Podlaski!C62+Pomorski!C62+Śląski!C62+Świętokrzyski!C62+WarmińskoMazurski!C62+Wielkopolski!C62+Zachodniopomorski!C62</f>
        <v>0</v>
      </c>
      <c r="D62" s="25">
        <f>Dolnośląski!D62+KujawskoPomorski!D62+Lubelski!D62+Lubuski!D62+Łódzki!D62+Małopolski!D62+Mazowiecki!D62+Opolski!D62+Podkarpacki!D62+Podlaski!D62+Pomorski!D62+Śląski!D62+Świętokrzyski!D62+WarmińskoMazurski!D62+Wielkopolski!D62+Zachodniopomorski!D62</f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f>Dolnośląski!C63+KujawskoPomorski!C63+Lubelski!C63+Lubuski!C63+Łódzki!C63+Małopolski!C63+Mazowiecki!C63+Opolski!C63+Podkarpacki!C63+Podlaski!C63+Pomorski!C63+Śląski!C63+Świętokrzyski!C63+WarmińskoMazurski!C63+Wielkopolski!C63+Zachodniopomorski!C63</f>
        <v>9684</v>
      </c>
      <c r="D63" s="25">
        <f>Dolnośląski!D63+KujawskoPomorski!D63+Lubelski!D63+Lubuski!D63+Łódzki!D63+Małopolski!D63+Mazowiecki!D63+Opolski!D63+Podkarpacki!D63+Podlaski!D63+Pomorski!D63+Śląski!D63+Świętokrzyski!D63+WarmińskoMazurski!D63+Wielkopolski!D63+Zachodniopomorski!D63</f>
        <v>9684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f>Dolnośląski!C64+KujawskoPomorski!C64+Lubelski!C64+Lubuski!C64+Łódzki!C64+Małopolski!C64+Mazowiecki!C64+Opolski!C64+Podkarpacki!C64+Podlaski!C64+Pomorski!C64+Śląski!C64+Świętokrzyski!C64+WarmińskoMazurski!C64+Wielkopolski!C64+Zachodniopomorski!C64</f>
        <v>0</v>
      </c>
      <c r="D64" s="25">
        <f>Dolnośląski!D64+KujawskoPomorski!D64+Lubelski!D64+Lubuski!D64+Łódzki!D64+Małopolski!D64+Mazowiecki!D64+Opolski!D64+Podkarpacki!D64+Podlaski!D64+Pomorski!D64+Śląski!D64+Świętokrzyski!D64+WarmińskoMazurski!D64+Wielkopolski!D64+Zachodniopomorski!D64</f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f>Dolnośląski!C65+KujawskoPomorski!C65+Lubelski!C65+Lubuski!C65+Łódzki!C65+Małopolski!C65+Mazowiecki!C65+Opolski!C65+Podkarpacki!C65+Podlaski!C65+Pomorski!C65+Śląski!C65+Świętokrzyski!C65+WarmińskoMazurski!C65+Wielkopolski!C65+Zachodniopomorski!C65</f>
        <v>53599</v>
      </c>
      <c r="D65" s="25">
        <f>Dolnośląski!D65+KujawskoPomorski!D65+Lubelski!D65+Lubuski!D65+Łódzki!D65+Małopolski!D65+Mazowiecki!D65+Opolski!D65+Podkarpacki!D65+Podlaski!D65+Pomorski!D65+Śląski!D65+Świętokrzyski!D65+WarmińskoMazurski!D65+Wielkopolski!D65+Zachodniopomorski!D65</f>
        <v>53599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f>Dolnośląski!C66+KujawskoPomorski!C66+Lubelski!C66+Lubuski!C66+Łódzki!C66+Małopolski!C66+Mazowiecki!C66+Opolski!C66+Podkarpacki!C66+Podlaski!C66+Pomorski!C66+Śląski!C66+Świętokrzyski!C66+WarmińskoMazurski!C66+Wielkopolski!C66+Zachodniopomorski!C66</f>
        <v>4193</v>
      </c>
      <c r="D66" s="25">
        <f>Dolnośląski!D66+KujawskoPomorski!D66+Lubelski!D66+Lubuski!D66+Łódzki!D66+Małopolski!D66+Mazowiecki!D66+Opolski!D66+Podkarpacki!D66+Podlaski!D66+Pomorski!D66+Śląski!D66+Świętokrzyski!D66+WarmińskoMazurski!D66+Wielkopolski!D66+Zachodniopomorski!D66</f>
        <v>4193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654364</v>
      </c>
      <c r="D67" s="23">
        <f>D68+D69+D70+D71</f>
        <v>601393</v>
      </c>
      <c r="E67" s="23">
        <f t="shared" si="0"/>
        <v>-52971</v>
      </c>
      <c r="F67" s="38">
        <f t="shared" si="1"/>
        <v>0.91900000000000004</v>
      </c>
    </row>
    <row r="68" spans="1:6" ht="24.95" customHeight="1" x14ac:dyDescent="0.2">
      <c r="A68" s="5" t="s">
        <v>99</v>
      </c>
      <c r="B68" s="29" t="s">
        <v>212</v>
      </c>
      <c r="C68" s="25">
        <f>Dolnośląski!C68+KujawskoPomorski!C68+Lubelski!C68+Lubuski!C68+Łódzki!C68+Małopolski!C68+Mazowiecki!C68+Opolski!C68+Podkarpacki!C68+Podlaski!C68+Pomorski!C68+Śląski!C68+Świętokrzyski!C68+WarmińskoMazurski!C68+Wielkopolski!C68+Zachodniopomorski!C68</f>
        <v>250</v>
      </c>
      <c r="D68" s="25">
        <f>Dolnośląski!D68+KujawskoPomorski!D68+Lubelski!D68+Lubuski!D68+Łódzki!D68+Małopolski!D68+Mazowiecki!D68+Opolski!D68+Podkarpacki!D68+Podlaski!D68+Pomorski!D68+Śląski!D68+Świętokrzyski!D68+WarmińskoMazurski!D68+Wielkopolski!D68+Zachodniopomorski!D68</f>
        <v>45</v>
      </c>
      <c r="E68" s="25">
        <f t="shared" si="0"/>
        <v>-205</v>
      </c>
      <c r="F68" s="38">
        <f t="shared" si="1"/>
        <v>0.18</v>
      </c>
    </row>
    <row r="69" spans="1:6" ht="24.95" customHeight="1" x14ac:dyDescent="0.2">
      <c r="A69" s="5" t="s">
        <v>28</v>
      </c>
      <c r="B69" s="29" t="s">
        <v>53</v>
      </c>
      <c r="C69" s="25">
        <f>Dolnośląski!C69+KujawskoPomorski!C69+Lubelski!C69+Lubuski!C69+Łódzki!C69+Małopolski!C69+Mazowiecki!C69+Opolski!C69+Podkarpacki!C69+Podlaski!C69+Pomorski!C69+Śląski!C69+Świętokrzyski!C69+WarmińskoMazurski!C69+Wielkopolski!C69+Zachodniopomorski!C69</f>
        <v>132565</v>
      </c>
      <c r="D69" s="25">
        <f>Dolnośląski!D69+KujawskoPomorski!D69+Lubelski!D69+Lubuski!D69+Łódzki!D69+Małopolski!D69+Mazowiecki!D69+Opolski!D69+Podkarpacki!D69+Podlaski!D69+Pomorski!D69+Śląski!D69+Świętokrzyski!D69+WarmińskoMazurski!D69+Wielkopolski!D69+Zachodniopomorski!D69</f>
        <v>68683</v>
      </c>
      <c r="E69" s="25">
        <f t="shared" si="0"/>
        <v>-63882</v>
      </c>
      <c r="F69" s="38">
        <f t="shared" si="1"/>
        <v>0.5181</v>
      </c>
    </row>
    <row r="70" spans="1:6" ht="24.95" customHeight="1" x14ac:dyDescent="0.2">
      <c r="A70" s="5" t="s">
        <v>29</v>
      </c>
      <c r="B70" s="29" t="s">
        <v>101</v>
      </c>
      <c r="C70" s="25">
        <f>Dolnośląski!C70+KujawskoPomorski!C70+Lubelski!C70+Lubuski!C70+Łódzki!C70+Małopolski!C70+Mazowiecki!C70+Opolski!C70+Podkarpacki!C70+Podlaski!C70+Pomorski!C70+Śląski!C70+Świętokrzyski!C70+WarmińskoMazurski!C70+Wielkopolski!C70+Zachodniopomorski!C70</f>
        <v>0</v>
      </c>
      <c r="D70" s="25">
        <f>Dolnośląski!D70+KujawskoPomorski!D70+Lubelski!D70+Lubuski!D70+Łódzki!D70+Małopolski!D70+Mazowiecki!D70+Opolski!D70+Podkarpacki!D70+Podlaski!D70+Pomorski!D70+Śląski!D70+Świętokrzyski!D70+WarmińskoMazurski!D70+Wielkopolski!D70+Zachodniopomorski!D70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f>Dolnośląski!C71+KujawskoPomorski!C71+Lubelski!C71+Lubuski!C71+Łódzki!C71+Małopolski!C71+Mazowiecki!C71+Opolski!C71+Podkarpacki!C71+Podlaski!C71+Pomorski!C71+Śląski!C71+Świętokrzyski!C71+WarmińskoMazurski!C71+Wielkopolski!C71+Zachodniopomorski!C71</f>
        <v>521549</v>
      </c>
      <c r="D71" s="25">
        <f>Dolnośląski!D71+KujawskoPomorski!D71+Lubelski!D71+Lubuski!D71+Łódzki!D71+Małopolski!D71+Mazowiecki!D71+Opolski!D71+Podkarpacki!D71+Podlaski!D71+Pomorski!D71+Śląski!D71+Świętokrzyski!D71+WarmińskoMazurski!D71+Wielkopolski!D71+Zachodniopomorski!D71</f>
        <v>532665</v>
      </c>
      <c r="E71" s="25">
        <f t="shared" si="0"/>
        <v>11116</v>
      </c>
      <c r="F71" s="38">
        <f t="shared" si="1"/>
        <v>1.0213000000000001</v>
      </c>
    </row>
    <row r="72" spans="1:6" ht="24.95" customHeight="1" x14ac:dyDescent="0.2">
      <c r="A72" s="36" t="s">
        <v>133</v>
      </c>
      <c r="B72" s="31" t="s">
        <v>112</v>
      </c>
      <c r="C72" s="32">
        <f>Dolnośląski!C72+KujawskoPomorski!C72+Lubelski!C72+Lubuski!C72+Łódzki!C72+Małopolski!C72+Mazowiecki!C72+Opolski!C72+Podkarpacki!C72+Podlaski!C72+Pomorski!C72+Śląski!C72+Świętokrzyski!C72+WarmińskoMazurski!C72+Wielkopolski!C72+Zachodniopomorski!C72</f>
        <v>24386</v>
      </c>
      <c r="D72" s="32">
        <f>Dolnośląski!D72+KujawskoPomorski!D72+Lubelski!D72+Lubuski!D72+Łódzki!D72+Małopolski!D72+Mazowiecki!D72+Opolski!D72+Podkarpacki!D72+Podlaski!D72+Pomorski!D72+Śląski!D72+Świętokrzyski!D72+WarmińskoMazurski!D72+Wielkopolski!D72+Zachodniopomorski!D72</f>
        <v>27855</v>
      </c>
      <c r="E72" s="32">
        <f t="shared" si="0"/>
        <v>3469</v>
      </c>
      <c r="F72" s="38">
        <f t="shared" si="1"/>
        <v>1.1423000000000001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0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  <ignoredErrors>
    <ignoredError sqref="C65 C16:C34 C7:C13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>
    <pageSetUpPr fitToPage="1"/>
  </sheetPr>
  <dimension ref="A1:U74"/>
  <sheetViews>
    <sheetView showGridLines="0" view="pageBreakPreview" zoomScale="80" zoomScaleNormal="70" zoomScaleSheetLayoutView="80" workbookViewId="0">
      <pane ySplit="6" topLeftCell="A55" activePane="bottomLeft" state="frozen"/>
      <selection activeCell="J27" sqref="J27"/>
      <selection pane="bottomLef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59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7477738</v>
      </c>
      <c r="D6" s="23">
        <f>D7+D8+D9+D16+D17+D18+D19+D20+D21+D22+D23+D24+D25+D26+D30+D31+D33+D34+D35+D36+D37+D39</f>
        <v>7482812</v>
      </c>
      <c r="E6" s="23">
        <f>IF(C6=D6,"-",D6-C6)</f>
        <v>5074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1029813</v>
      </c>
      <c r="D7" s="25">
        <f>C7</f>
        <v>1029813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451997</v>
      </c>
      <c r="D8" s="25">
        <f t="shared" ref="D8:D36" si="2">C8</f>
        <v>451997</v>
      </c>
      <c r="E8" s="25" t="str">
        <f>IF(C8=D8,"-",D8-C8)</f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3978301</v>
      </c>
      <c r="D9" s="25">
        <f>C9+5074</f>
        <v>3983375</v>
      </c>
      <c r="E9" s="25">
        <f t="shared" si="0"/>
        <v>5074</v>
      </c>
      <c r="F9" s="38">
        <f t="shared" si="1"/>
        <v>1.0013000000000001</v>
      </c>
    </row>
    <row r="10" spans="1:6" ht="24.95" customHeight="1" x14ac:dyDescent="0.2">
      <c r="A10" s="26" t="s">
        <v>54</v>
      </c>
      <c r="B10" s="27" t="s">
        <v>189</v>
      </c>
      <c r="C10" s="25">
        <v>388598</v>
      </c>
      <c r="D10" s="25">
        <f t="shared" si="2"/>
        <v>388598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350527</v>
      </c>
      <c r="D11" s="25">
        <f t="shared" si="2"/>
        <v>350527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113405</v>
      </c>
      <c r="D12" s="25">
        <f t="shared" si="2"/>
        <v>113405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50986</v>
      </c>
      <c r="D13" s="25">
        <f t="shared" si="2"/>
        <v>50986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179</v>
      </c>
      <c r="D14" s="25">
        <f t="shared" si="2"/>
        <v>179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4377</v>
      </c>
      <c r="D15" s="25">
        <f t="shared" si="2"/>
        <v>4377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289700</v>
      </c>
      <c r="D16" s="25">
        <f t="shared" si="2"/>
        <v>289700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244610</v>
      </c>
      <c r="D17" s="25">
        <f t="shared" si="2"/>
        <v>244610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185205</v>
      </c>
      <c r="D18" s="25">
        <f t="shared" si="2"/>
        <v>185205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87230</v>
      </c>
      <c r="D19" s="25">
        <f t="shared" si="2"/>
        <v>87230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127095</v>
      </c>
      <c r="D20" s="25">
        <f t="shared" si="2"/>
        <v>127095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78592</v>
      </c>
      <c r="D21" s="25">
        <f t="shared" si="2"/>
        <v>78592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25877</v>
      </c>
      <c r="D22" s="25">
        <f t="shared" si="2"/>
        <v>25877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16744</v>
      </c>
      <c r="D23" s="25">
        <f t="shared" si="2"/>
        <v>16744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175935</v>
      </c>
      <c r="D24" s="25">
        <f t="shared" si="2"/>
        <v>175935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100246</v>
      </c>
      <c r="D25" s="25">
        <f t="shared" si="2"/>
        <v>100246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657028</v>
      </c>
      <c r="D26" s="25">
        <f t="shared" si="2"/>
        <v>657028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655028</v>
      </c>
      <c r="D27" s="25">
        <f t="shared" si="2"/>
        <v>655028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700</v>
      </c>
      <c r="D28" s="25">
        <f t="shared" si="2"/>
        <v>700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1300</v>
      </c>
      <c r="D29" s="25">
        <f t="shared" si="2"/>
        <v>1300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3000</v>
      </c>
      <c r="D34" s="25">
        <f t="shared" si="2"/>
        <v>3000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100</v>
      </c>
      <c r="D36" s="25">
        <f t="shared" si="2"/>
        <v>100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26265</v>
      </c>
      <c r="D37" s="25">
        <f t="shared" ref="D37:D39" si="3">C37</f>
        <v>26265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16579</v>
      </c>
      <c r="D38" s="25">
        <f t="shared" si="3"/>
        <v>16579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855</v>
      </c>
      <c r="D40" s="32">
        <f>C40</f>
        <v>855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179540</v>
      </c>
      <c r="D41" s="32">
        <f>C41</f>
        <v>179540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55987</v>
      </c>
      <c r="D42" s="32">
        <f>C42</f>
        <v>55987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790</v>
      </c>
      <c r="D44" s="32">
        <f>C44</f>
        <v>790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1115497</v>
      </c>
      <c r="D45" s="32">
        <f>D11+D13+D14+D26+D32+D42+D44</f>
        <v>1115497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41769</v>
      </c>
      <c r="D46" s="23">
        <f>D47+D48+D49+D57+D59+D65+D66+D64</f>
        <v>41769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1637</v>
      </c>
      <c r="D47" s="25">
        <f>C47</f>
        <v>1637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5414</v>
      </c>
      <c r="D48" s="25">
        <f t="shared" ref="D48:D66" si="6">C48</f>
        <v>5414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266</v>
      </c>
      <c r="D49" s="25">
        <f>D50+D52+D53+D54+D55+D56</f>
        <v>266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57</v>
      </c>
      <c r="D50" s="25">
        <f t="shared" si="6"/>
        <v>57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57</v>
      </c>
      <c r="D51" s="25">
        <f t="shared" si="6"/>
        <v>57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72</v>
      </c>
      <c r="D52" s="25">
        <f t="shared" si="6"/>
        <v>72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1</v>
      </c>
      <c r="D53" s="25">
        <f t="shared" si="6"/>
        <v>1</v>
      </c>
      <c r="E53" s="25" t="str">
        <f t="shared" si="0"/>
        <v>-</v>
      </c>
      <c r="F53" s="38">
        <f t="shared" si="1"/>
        <v>1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134</v>
      </c>
      <c r="D55" s="25">
        <f t="shared" si="6"/>
        <v>134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2</v>
      </c>
      <c r="D56" s="25">
        <f t="shared" si="6"/>
        <v>2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24958</v>
      </c>
      <c r="D57" s="25">
        <f t="shared" si="6"/>
        <v>24958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100</v>
      </c>
      <c r="D58" s="25">
        <f t="shared" si="6"/>
        <v>100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5578</v>
      </c>
      <c r="D59" s="25">
        <f>D60+D61+D62+D63</f>
        <v>5578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4184</v>
      </c>
      <c r="D60" s="25">
        <f t="shared" si="6"/>
        <v>4184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542</v>
      </c>
      <c r="D61" s="25">
        <f t="shared" si="6"/>
        <v>542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852</v>
      </c>
      <c r="D63" s="25">
        <f t="shared" si="6"/>
        <v>852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3705</v>
      </c>
      <c r="D65" s="25">
        <f t="shared" si="6"/>
        <v>3705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211</v>
      </c>
      <c r="D66" s="25">
        <f t="shared" si="6"/>
        <v>211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33476</v>
      </c>
      <c r="D67" s="23">
        <f>D68+D69+D70+D71</f>
        <v>33476</v>
      </c>
      <c r="E67" s="23" t="str">
        <f t="shared" si="0"/>
        <v>-</v>
      </c>
      <c r="F67" s="38">
        <f t="shared" si="1"/>
        <v>1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6495</v>
      </c>
      <c r="D69" s="25">
        <f>C69</f>
        <v>6495</v>
      </c>
      <c r="E69" s="25" t="str">
        <f t="shared" si="0"/>
        <v>-</v>
      </c>
      <c r="F69" s="38">
        <f t="shared" si="1"/>
        <v>1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26981</v>
      </c>
      <c r="D71" s="25">
        <f>C71-25321+25280+41</f>
        <v>26981</v>
      </c>
      <c r="E71" s="25" t="str">
        <f t="shared" si="0"/>
        <v>-</v>
      </c>
      <c r="F71" s="38">
        <f t="shared" si="1"/>
        <v>1</v>
      </c>
    </row>
    <row r="72" spans="1:6" ht="24.95" customHeight="1" x14ac:dyDescent="0.2">
      <c r="A72" s="36" t="s">
        <v>133</v>
      </c>
      <c r="B72" s="31" t="s">
        <v>112</v>
      </c>
      <c r="C72" s="32">
        <v>1117</v>
      </c>
      <c r="D72" s="32">
        <f>C72</f>
        <v>1117</v>
      </c>
      <c r="E72" s="32" t="str">
        <f t="shared" si="0"/>
        <v>-</v>
      </c>
      <c r="F72" s="38">
        <f t="shared" si="1"/>
        <v>1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34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60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5643482</v>
      </c>
      <c r="D6" s="23">
        <f>D7+D8+D9+D16+D17+D18+D19+D20+D21+D22+D23+D24+D25+D26+D30+D31+D33+D34+D35+D36+D37+D39</f>
        <v>5647052</v>
      </c>
      <c r="E6" s="23">
        <f>IF(C6=D6,"-",D6-C6)</f>
        <v>3570</v>
      </c>
      <c r="F6" s="38">
        <f>IF(C6=0,"-",D6/C6)</f>
        <v>1.0005999999999999</v>
      </c>
    </row>
    <row r="7" spans="1:6" ht="24.95" customHeight="1" x14ac:dyDescent="0.2">
      <c r="A7" s="4" t="s">
        <v>1</v>
      </c>
      <c r="B7" s="24" t="s">
        <v>115</v>
      </c>
      <c r="C7" s="25">
        <v>725240</v>
      </c>
      <c r="D7" s="25">
        <f>C7</f>
        <v>725240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282975</v>
      </c>
      <c r="D8" s="25">
        <f t="shared" ref="D8:D36" si="2">C8</f>
        <v>282975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3216005</v>
      </c>
      <c r="D9" s="25">
        <f>C9+3570</f>
        <v>3219575</v>
      </c>
      <c r="E9" s="25">
        <f t="shared" si="0"/>
        <v>3570</v>
      </c>
      <c r="F9" s="38">
        <f t="shared" si="1"/>
        <v>1.0011000000000001</v>
      </c>
    </row>
    <row r="10" spans="1:6" ht="24.95" customHeight="1" x14ac:dyDescent="0.2">
      <c r="A10" s="26" t="s">
        <v>54</v>
      </c>
      <c r="B10" s="27" t="s">
        <v>189</v>
      </c>
      <c r="C10" s="25">
        <v>248289</v>
      </c>
      <c r="D10" s="25">
        <f t="shared" si="2"/>
        <v>248289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220766</v>
      </c>
      <c r="D11" s="25">
        <f t="shared" si="2"/>
        <v>220766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84456</v>
      </c>
      <c r="D12" s="25">
        <f t="shared" si="2"/>
        <v>84456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39264</v>
      </c>
      <c r="D13" s="25">
        <f t="shared" si="2"/>
        <v>39264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690</v>
      </c>
      <c r="D14" s="25">
        <f t="shared" si="2"/>
        <v>690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3477</v>
      </c>
      <c r="D15" s="25">
        <f t="shared" si="2"/>
        <v>3477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176850</v>
      </c>
      <c r="D16" s="25">
        <f t="shared" si="2"/>
        <v>176850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155304</v>
      </c>
      <c r="D17" s="25">
        <f t="shared" si="2"/>
        <v>155304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97004</v>
      </c>
      <c r="D18" s="25">
        <f t="shared" si="2"/>
        <v>97004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55160</v>
      </c>
      <c r="D19" s="25">
        <f t="shared" si="2"/>
        <v>55160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107606</v>
      </c>
      <c r="D20" s="25">
        <f t="shared" si="2"/>
        <v>107606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51027</v>
      </c>
      <c r="D21" s="25">
        <f t="shared" si="2"/>
        <v>51027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15938</v>
      </c>
      <c r="D22" s="25">
        <f t="shared" si="2"/>
        <v>15938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14184</v>
      </c>
      <c r="D23" s="25">
        <f t="shared" si="2"/>
        <v>14184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122407</v>
      </c>
      <c r="D24" s="25">
        <f t="shared" si="2"/>
        <v>122407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60513</v>
      </c>
      <c r="D25" s="25">
        <f t="shared" si="2"/>
        <v>60513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508998</v>
      </c>
      <c r="D26" s="25">
        <f t="shared" si="2"/>
        <v>508998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507736</v>
      </c>
      <c r="D27" s="25">
        <f t="shared" si="2"/>
        <v>507736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755</v>
      </c>
      <c r="D28" s="25">
        <f t="shared" si="2"/>
        <v>755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507</v>
      </c>
      <c r="D29" s="25">
        <f t="shared" si="2"/>
        <v>507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25916</v>
      </c>
      <c r="D34" s="25">
        <f t="shared" si="2"/>
        <v>25916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600</v>
      </c>
      <c r="D36" s="25">
        <f t="shared" si="2"/>
        <v>600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27755</v>
      </c>
      <c r="D37" s="25">
        <f t="shared" ref="D37:D39" si="3">C37</f>
        <v>27755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15501</v>
      </c>
      <c r="D38" s="25">
        <f t="shared" si="3"/>
        <v>15501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0</v>
      </c>
      <c r="D40" s="32">
        <f>C40</f>
        <v>0</v>
      </c>
      <c r="E40" s="25" t="str">
        <f t="shared" si="4"/>
        <v>-</v>
      </c>
      <c r="F40" s="38" t="str">
        <f t="shared" si="5"/>
        <v>-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145789</v>
      </c>
      <c r="D41" s="32">
        <f>C41</f>
        <v>145789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40942</v>
      </c>
      <c r="D42" s="32">
        <f>C42</f>
        <v>40942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567</v>
      </c>
      <c r="D44" s="32">
        <f>C44</f>
        <v>567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811227</v>
      </c>
      <c r="D45" s="32">
        <f>D11+D13+D14+D26+D32+D42+D44</f>
        <v>811227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39743</v>
      </c>
      <c r="D46" s="23">
        <f>D47+D48+D49+D57+D59+D65+D66+D64</f>
        <v>39743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1583</v>
      </c>
      <c r="D47" s="25">
        <f>C47</f>
        <v>1583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8269</v>
      </c>
      <c r="D48" s="25">
        <f t="shared" ref="D48:D66" si="6">C48</f>
        <v>8269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203</v>
      </c>
      <c r="D49" s="25">
        <f>D50+D52+D53+D54+D55+D56</f>
        <v>203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51</v>
      </c>
      <c r="D50" s="25">
        <f t="shared" si="6"/>
        <v>51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51</v>
      </c>
      <c r="D51" s="25">
        <f t="shared" si="6"/>
        <v>51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41</v>
      </c>
      <c r="D52" s="25">
        <f t="shared" si="6"/>
        <v>41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96</v>
      </c>
      <c r="D55" s="25">
        <f t="shared" si="6"/>
        <v>96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15</v>
      </c>
      <c r="D56" s="25">
        <f t="shared" si="6"/>
        <v>15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17458</v>
      </c>
      <c r="D57" s="25">
        <f t="shared" si="6"/>
        <v>17458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0</v>
      </c>
      <c r="D58" s="25">
        <f t="shared" si="6"/>
        <v>0</v>
      </c>
      <c r="E58" s="25" t="str">
        <f t="shared" si="0"/>
        <v>-</v>
      </c>
      <c r="F58" s="38" t="str">
        <f t="shared" si="1"/>
        <v>-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3902</v>
      </c>
      <c r="D59" s="25">
        <f>D60+D61+D62+D63</f>
        <v>3902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2948</v>
      </c>
      <c r="D60" s="25">
        <f t="shared" si="6"/>
        <v>2948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420</v>
      </c>
      <c r="D61" s="25">
        <f t="shared" si="6"/>
        <v>420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534</v>
      </c>
      <c r="D63" s="25">
        <f t="shared" si="6"/>
        <v>534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8000</v>
      </c>
      <c r="D65" s="25">
        <f t="shared" si="6"/>
        <v>8000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328</v>
      </c>
      <c r="D66" s="25">
        <f t="shared" si="6"/>
        <v>328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45477</v>
      </c>
      <c r="D67" s="23">
        <f>D68+D69+D70+D71</f>
        <v>42052</v>
      </c>
      <c r="E67" s="23">
        <f t="shared" si="0"/>
        <v>-3425</v>
      </c>
      <c r="F67" s="38">
        <f t="shared" si="1"/>
        <v>0.92469999999999997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18305</v>
      </c>
      <c r="D69" s="25">
        <f>C69-2725</f>
        <v>15580</v>
      </c>
      <c r="E69" s="25">
        <f t="shared" si="0"/>
        <v>-2725</v>
      </c>
      <c r="F69" s="38">
        <f t="shared" si="1"/>
        <v>0.85109999999999997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27172</v>
      </c>
      <c r="D71" s="25">
        <f>C71-23272+22541+31</f>
        <v>26472</v>
      </c>
      <c r="E71" s="25">
        <f t="shared" si="0"/>
        <v>-700</v>
      </c>
      <c r="F71" s="38">
        <f t="shared" si="1"/>
        <v>0.97419999999999995</v>
      </c>
    </row>
    <row r="72" spans="1:6" ht="24.95" customHeight="1" x14ac:dyDescent="0.2">
      <c r="A72" s="36" t="s">
        <v>133</v>
      </c>
      <c r="B72" s="31" t="s">
        <v>112</v>
      </c>
      <c r="C72" s="32">
        <v>5000</v>
      </c>
      <c r="D72" s="32">
        <f>C72+2070</f>
        <v>7070</v>
      </c>
      <c r="E72" s="32">
        <f t="shared" si="0"/>
        <v>2070</v>
      </c>
      <c r="F72" s="38">
        <f t="shared" si="1"/>
        <v>1.4139999999999999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61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5660513</v>
      </c>
      <c r="D6" s="23">
        <f>D7+D8+D9+D16+D17+D18+D19+D20+D21+D22+D23+D24+D25+D26+D30+D31+D33+D34+D35+D36+D37+D39</f>
        <v>5664260</v>
      </c>
      <c r="E6" s="23">
        <f>IF(C6=D6,"-",D6-C6)</f>
        <v>3747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772741</v>
      </c>
      <c r="D7" s="25">
        <f>C7</f>
        <v>772741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275955</v>
      </c>
      <c r="D8" s="25">
        <f t="shared" ref="D8:D36" si="2">C8</f>
        <v>275955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3112911</v>
      </c>
      <c r="D9" s="25">
        <f>C9+3747</f>
        <v>3116658</v>
      </c>
      <c r="E9" s="25">
        <f t="shared" si="0"/>
        <v>3747</v>
      </c>
      <c r="F9" s="38">
        <f t="shared" si="1"/>
        <v>1.0012000000000001</v>
      </c>
    </row>
    <row r="10" spans="1:6" ht="24.95" customHeight="1" x14ac:dyDescent="0.2">
      <c r="A10" s="26" t="s">
        <v>54</v>
      </c>
      <c r="B10" s="27" t="s">
        <v>189</v>
      </c>
      <c r="C10" s="25">
        <v>263576</v>
      </c>
      <c r="D10" s="25">
        <f t="shared" si="2"/>
        <v>263576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238270</v>
      </c>
      <c r="D11" s="25">
        <f t="shared" si="2"/>
        <v>238270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103466</v>
      </c>
      <c r="D12" s="25">
        <f t="shared" si="2"/>
        <v>103466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45497</v>
      </c>
      <c r="D13" s="25">
        <f t="shared" si="2"/>
        <v>45497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738</v>
      </c>
      <c r="D14" s="25">
        <f t="shared" si="2"/>
        <v>738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0</v>
      </c>
      <c r="D15" s="25">
        <f t="shared" si="2"/>
        <v>0</v>
      </c>
      <c r="E15" s="25" t="str">
        <f t="shared" si="0"/>
        <v>-</v>
      </c>
      <c r="F15" s="38" t="str">
        <f t="shared" si="1"/>
        <v>-</v>
      </c>
    </row>
    <row r="16" spans="1:6" ht="24.95" customHeight="1" x14ac:dyDescent="0.2">
      <c r="A16" s="4" t="s">
        <v>4</v>
      </c>
      <c r="B16" s="24" t="s">
        <v>121</v>
      </c>
      <c r="C16" s="25">
        <v>199497</v>
      </c>
      <c r="D16" s="25">
        <f t="shared" si="2"/>
        <v>199497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158956</v>
      </c>
      <c r="D17" s="25">
        <f t="shared" si="2"/>
        <v>158956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112410</v>
      </c>
      <c r="D18" s="25">
        <f t="shared" si="2"/>
        <v>112410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38644</v>
      </c>
      <c r="D19" s="25">
        <f t="shared" si="2"/>
        <v>38644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123942</v>
      </c>
      <c r="D20" s="25">
        <f t="shared" si="2"/>
        <v>123942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47786</v>
      </c>
      <c r="D21" s="25">
        <f t="shared" si="2"/>
        <v>47786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11330</v>
      </c>
      <c r="D22" s="25">
        <f t="shared" si="2"/>
        <v>11330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13301</v>
      </c>
      <c r="D23" s="25">
        <f t="shared" si="2"/>
        <v>13301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163084</v>
      </c>
      <c r="D24" s="25">
        <f t="shared" si="2"/>
        <v>163084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63786</v>
      </c>
      <c r="D25" s="25">
        <f t="shared" si="2"/>
        <v>63786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473388</v>
      </c>
      <c r="D26" s="25">
        <f t="shared" si="2"/>
        <v>473388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471368</v>
      </c>
      <c r="D27" s="25">
        <f t="shared" si="2"/>
        <v>471368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1320</v>
      </c>
      <c r="D28" s="25">
        <f t="shared" si="2"/>
        <v>1320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700</v>
      </c>
      <c r="D29" s="25">
        <f t="shared" si="2"/>
        <v>700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69838</v>
      </c>
      <c r="D34" s="25">
        <f t="shared" si="2"/>
        <v>69838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1000</v>
      </c>
      <c r="D36" s="25">
        <f t="shared" si="2"/>
        <v>1000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21944</v>
      </c>
      <c r="D37" s="25">
        <f t="shared" ref="D37:D39" si="3">C37</f>
        <v>21944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16599</v>
      </c>
      <c r="D38" s="25">
        <f t="shared" si="3"/>
        <v>16599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0</v>
      </c>
      <c r="D40" s="32">
        <f>C40</f>
        <v>0</v>
      </c>
      <c r="E40" s="25" t="str">
        <f t="shared" si="4"/>
        <v>-</v>
      </c>
      <c r="F40" s="38" t="str">
        <f t="shared" si="5"/>
        <v>-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148158</v>
      </c>
      <c r="D41" s="32">
        <f>C41</f>
        <v>148158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40330</v>
      </c>
      <c r="D42" s="32">
        <f>C42</f>
        <v>40330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566</v>
      </c>
      <c r="D44" s="32">
        <f>C44</f>
        <v>566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798789</v>
      </c>
      <c r="D45" s="32">
        <f>D11+D13+D14+D26+D32+D42+D44</f>
        <v>798789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31309</v>
      </c>
      <c r="D46" s="23">
        <f>D47+D48+D49+D57+D59+D65+D66+D64</f>
        <v>31309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1224</v>
      </c>
      <c r="D47" s="25">
        <f>C47</f>
        <v>1224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4030</v>
      </c>
      <c r="D48" s="25">
        <f t="shared" ref="D48:D66" si="6">C48</f>
        <v>4030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161</v>
      </c>
      <c r="D49" s="25">
        <f>D50+D52+D53+D54+D55+D56</f>
        <v>161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34</v>
      </c>
      <c r="D50" s="25">
        <f t="shared" si="6"/>
        <v>34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34</v>
      </c>
      <c r="D51" s="25">
        <f t="shared" si="6"/>
        <v>34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0</v>
      </c>
      <c r="D52" s="25">
        <f t="shared" si="6"/>
        <v>0</v>
      </c>
      <c r="E52" s="25" t="str">
        <f t="shared" si="0"/>
        <v>-</v>
      </c>
      <c r="F52" s="38" t="str">
        <f t="shared" si="1"/>
        <v>-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113</v>
      </c>
      <c r="D55" s="25">
        <f t="shared" si="6"/>
        <v>113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14</v>
      </c>
      <c r="D56" s="25">
        <f t="shared" si="6"/>
        <v>14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18980</v>
      </c>
      <c r="D57" s="25">
        <f t="shared" si="6"/>
        <v>18980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144</v>
      </c>
      <c r="D58" s="25">
        <f t="shared" si="6"/>
        <v>144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4241</v>
      </c>
      <c r="D59" s="25">
        <f>D60+D61+D62+D63</f>
        <v>4241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3260</v>
      </c>
      <c r="D60" s="25">
        <f t="shared" si="6"/>
        <v>3260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465</v>
      </c>
      <c r="D61" s="25">
        <f t="shared" si="6"/>
        <v>465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516</v>
      </c>
      <c r="D63" s="25">
        <f t="shared" si="6"/>
        <v>516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2500</v>
      </c>
      <c r="D65" s="25">
        <f t="shared" si="6"/>
        <v>2500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173</v>
      </c>
      <c r="D66" s="25">
        <f t="shared" si="6"/>
        <v>173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34261</v>
      </c>
      <c r="D67" s="23">
        <f>D68+D69+D70+D71</f>
        <v>25861</v>
      </c>
      <c r="E67" s="23">
        <f t="shared" si="0"/>
        <v>-8400</v>
      </c>
      <c r="F67" s="38">
        <f t="shared" si="1"/>
        <v>0.75480000000000003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15000</v>
      </c>
      <c r="D69" s="25">
        <f>C69-10000</f>
        <v>5000</v>
      </c>
      <c r="E69" s="25">
        <f t="shared" si="0"/>
        <v>-10000</v>
      </c>
      <c r="F69" s="38">
        <f t="shared" si="1"/>
        <v>0.33329999999999999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19261</v>
      </c>
      <c r="D71" s="25">
        <f>C71-16861+18430+31</f>
        <v>20861</v>
      </c>
      <c r="E71" s="25">
        <f t="shared" si="0"/>
        <v>1600</v>
      </c>
      <c r="F71" s="38">
        <f t="shared" si="1"/>
        <v>1.0831</v>
      </c>
    </row>
    <row r="72" spans="1:6" ht="24.95" customHeight="1" x14ac:dyDescent="0.2">
      <c r="A72" s="36" t="s">
        <v>133</v>
      </c>
      <c r="B72" s="31" t="s">
        <v>112</v>
      </c>
      <c r="C72" s="32">
        <v>1000</v>
      </c>
      <c r="D72" s="32">
        <f>C72-800</f>
        <v>200</v>
      </c>
      <c r="E72" s="32">
        <f t="shared" si="0"/>
        <v>-800</v>
      </c>
      <c r="F72" s="38">
        <f t="shared" si="1"/>
        <v>0.2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62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2634338</v>
      </c>
      <c r="D6" s="23">
        <f>D7+D8+D9+D16+D17+D18+D19+D20+D21+D22+D23+D24+D25+D26+D30+D31+D33+D34+D35+D36+D37+D39</f>
        <v>2636059</v>
      </c>
      <c r="E6" s="23">
        <f>IF(C6=D6,"-",D6-C6)</f>
        <v>1721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365423</v>
      </c>
      <c r="D7" s="25">
        <f>C7</f>
        <v>365423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154158</v>
      </c>
      <c r="D8" s="25">
        <f t="shared" ref="D8:D36" si="2">C8</f>
        <v>154158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1409356</v>
      </c>
      <c r="D9" s="25">
        <f>C9+1721</f>
        <v>1411077</v>
      </c>
      <c r="E9" s="25">
        <f t="shared" si="0"/>
        <v>1721</v>
      </c>
      <c r="F9" s="38">
        <f t="shared" si="1"/>
        <v>1.0012000000000001</v>
      </c>
    </row>
    <row r="10" spans="1:6" ht="24.95" customHeight="1" x14ac:dyDescent="0.2">
      <c r="A10" s="26" t="s">
        <v>54</v>
      </c>
      <c r="B10" s="27" t="s">
        <v>189</v>
      </c>
      <c r="C10" s="25">
        <v>115835</v>
      </c>
      <c r="D10" s="25">
        <f t="shared" si="2"/>
        <v>115835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104467</v>
      </c>
      <c r="D11" s="25">
        <f t="shared" si="2"/>
        <v>104467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41364</v>
      </c>
      <c r="D12" s="25">
        <f t="shared" si="2"/>
        <v>41364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16620</v>
      </c>
      <c r="D13" s="25">
        <f t="shared" si="2"/>
        <v>16620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10</v>
      </c>
      <c r="D14" s="25">
        <f t="shared" si="2"/>
        <v>10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0</v>
      </c>
      <c r="D15" s="25">
        <f t="shared" si="2"/>
        <v>0</v>
      </c>
      <c r="E15" s="25" t="str">
        <f t="shared" si="0"/>
        <v>-</v>
      </c>
      <c r="F15" s="38" t="str">
        <f t="shared" si="1"/>
        <v>-</v>
      </c>
    </row>
    <row r="16" spans="1:6" ht="24.95" customHeight="1" x14ac:dyDescent="0.2">
      <c r="A16" s="4" t="s">
        <v>4</v>
      </c>
      <c r="B16" s="24" t="s">
        <v>121</v>
      </c>
      <c r="C16" s="25">
        <v>106747</v>
      </c>
      <c r="D16" s="25">
        <f t="shared" si="2"/>
        <v>106747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78101</v>
      </c>
      <c r="D17" s="25">
        <f t="shared" si="2"/>
        <v>78101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40555</v>
      </c>
      <c r="D18" s="25">
        <f t="shared" si="2"/>
        <v>40555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22396</v>
      </c>
      <c r="D19" s="25">
        <f t="shared" si="2"/>
        <v>22396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40388</v>
      </c>
      <c r="D20" s="25">
        <f t="shared" si="2"/>
        <v>40388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15425</v>
      </c>
      <c r="D21" s="25">
        <f t="shared" si="2"/>
        <v>15425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13200</v>
      </c>
      <c r="D22" s="25">
        <f t="shared" si="2"/>
        <v>13200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5929</v>
      </c>
      <c r="D23" s="25">
        <f t="shared" si="2"/>
        <v>5929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89947</v>
      </c>
      <c r="D24" s="25">
        <f t="shared" si="2"/>
        <v>89947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33769</v>
      </c>
      <c r="D25" s="25">
        <f t="shared" si="2"/>
        <v>33769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227102</v>
      </c>
      <c r="D26" s="25">
        <f t="shared" si="2"/>
        <v>227102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226552</v>
      </c>
      <c r="D27" s="25">
        <f t="shared" si="2"/>
        <v>226552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250</v>
      </c>
      <c r="D28" s="25">
        <f t="shared" si="2"/>
        <v>250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300</v>
      </c>
      <c r="D29" s="25">
        <f t="shared" si="2"/>
        <v>300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9604</v>
      </c>
      <c r="D34" s="25">
        <f t="shared" si="2"/>
        <v>9604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1000</v>
      </c>
      <c r="D36" s="25">
        <f t="shared" si="2"/>
        <v>1000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21238</v>
      </c>
      <c r="D37" s="25">
        <f t="shared" ref="D37:D39" si="3">C37</f>
        <v>21238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18200</v>
      </c>
      <c r="D38" s="25">
        <f t="shared" si="3"/>
        <v>18200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0</v>
      </c>
      <c r="D40" s="32">
        <f>C40</f>
        <v>0</v>
      </c>
      <c r="E40" s="25" t="str">
        <f t="shared" si="4"/>
        <v>-</v>
      </c>
      <c r="F40" s="38" t="str">
        <f t="shared" si="5"/>
        <v>-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84006</v>
      </c>
      <c r="D41" s="32">
        <f>C41</f>
        <v>84006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17094</v>
      </c>
      <c r="D42" s="32">
        <f>C42</f>
        <v>17094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265</v>
      </c>
      <c r="D44" s="32">
        <f>C44</f>
        <v>265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365558</v>
      </c>
      <c r="D45" s="32">
        <f>D11+D13+D14+D26+D32+D42+D44</f>
        <v>365558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18989</v>
      </c>
      <c r="D46" s="23">
        <f>D47+D48+D49+D57+D59+D65+D66+D64</f>
        <v>18989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917</v>
      </c>
      <c r="D47" s="25">
        <f>C47</f>
        <v>917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2537</v>
      </c>
      <c r="D48" s="25">
        <f t="shared" ref="D48:D66" si="6">C48</f>
        <v>2537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39</v>
      </c>
      <c r="D49" s="25">
        <f>D50+D52+D53+D54+D55+D56</f>
        <v>39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15</v>
      </c>
      <c r="D50" s="25">
        <f t="shared" si="6"/>
        <v>15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15</v>
      </c>
      <c r="D51" s="25">
        <f t="shared" si="6"/>
        <v>15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0</v>
      </c>
      <c r="D52" s="25">
        <f t="shared" si="6"/>
        <v>0</v>
      </c>
      <c r="E52" s="25" t="str">
        <f t="shared" si="0"/>
        <v>-</v>
      </c>
      <c r="F52" s="38" t="str">
        <f t="shared" si="1"/>
        <v>-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8</v>
      </c>
      <c r="D55" s="25">
        <f t="shared" si="6"/>
        <v>8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16</v>
      </c>
      <c r="D56" s="25">
        <f t="shared" si="6"/>
        <v>16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11334</v>
      </c>
      <c r="D57" s="25">
        <f t="shared" si="6"/>
        <v>11334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0</v>
      </c>
      <c r="D58" s="25">
        <f t="shared" si="6"/>
        <v>0</v>
      </c>
      <c r="E58" s="25" t="str">
        <f t="shared" si="0"/>
        <v>-</v>
      </c>
      <c r="F58" s="38" t="str">
        <f t="shared" si="1"/>
        <v>-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2533</v>
      </c>
      <c r="D59" s="25">
        <f>D60+D61+D62+D63</f>
        <v>2533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1946</v>
      </c>
      <c r="D60" s="25">
        <f t="shared" si="6"/>
        <v>1946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278</v>
      </c>
      <c r="D61" s="25">
        <f t="shared" si="6"/>
        <v>278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309</v>
      </c>
      <c r="D63" s="25">
        <f t="shared" si="6"/>
        <v>309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1442</v>
      </c>
      <c r="D65" s="25">
        <f t="shared" si="6"/>
        <v>1442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187</v>
      </c>
      <c r="D66" s="25">
        <f t="shared" si="6"/>
        <v>187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18613</v>
      </c>
      <c r="D67" s="23">
        <f>D68+D69+D70+D71</f>
        <v>18377</v>
      </c>
      <c r="E67" s="23">
        <f t="shared" si="0"/>
        <v>-236</v>
      </c>
      <c r="F67" s="38">
        <f t="shared" si="1"/>
        <v>0.98729999999999996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161</v>
      </c>
      <c r="D69" s="25">
        <f>C69-61</f>
        <v>100</v>
      </c>
      <c r="E69" s="25">
        <f t="shared" si="0"/>
        <v>-61</v>
      </c>
      <c r="F69" s="38">
        <f t="shared" si="1"/>
        <v>0.62109999999999999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18452</v>
      </c>
      <c r="D71" s="25">
        <f>C71-17252+17055+22</f>
        <v>18277</v>
      </c>
      <c r="E71" s="25">
        <f t="shared" si="0"/>
        <v>-175</v>
      </c>
      <c r="F71" s="38">
        <f t="shared" si="1"/>
        <v>0.99050000000000005</v>
      </c>
    </row>
    <row r="72" spans="1:6" ht="24.95" customHeight="1" x14ac:dyDescent="0.2">
      <c r="A72" s="36" t="s">
        <v>133</v>
      </c>
      <c r="B72" s="31" t="s">
        <v>112</v>
      </c>
      <c r="C72" s="32">
        <v>286</v>
      </c>
      <c r="D72" s="32">
        <f>C72-186</f>
        <v>100</v>
      </c>
      <c r="E72" s="32">
        <f t="shared" si="0"/>
        <v>-186</v>
      </c>
      <c r="F72" s="38">
        <f t="shared" si="1"/>
        <v>0.34970000000000001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63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6979798</v>
      </c>
      <c r="D6" s="23">
        <f>D7+D8+D9+D16+D17+D18+D19+D20+D21+D22+D23+D24+D25+D26+D30+D31+D33+D34+D35+D36+D37+D39</f>
        <v>6984374</v>
      </c>
      <c r="E6" s="23">
        <f>IF(C6=D6,"-",D6-C6)</f>
        <v>4576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917992</v>
      </c>
      <c r="D7" s="25">
        <f>C7</f>
        <v>917992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346630</v>
      </c>
      <c r="D8" s="25">
        <f t="shared" ref="D8:D36" si="2">C8</f>
        <v>346630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3971103</v>
      </c>
      <c r="D9" s="25">
        <f>C9+4576</f>
        <v>3975679</v>
      </c>
      <c r="E9" s="25">
        <f t="shared" si="0"/>
        <v>4576</v>
      </c>
      <c r="F9" s="38">
        <f t="shared" si="1"/>
        <v>1.0012000000000001</v>
      </c>
    </row>
    <row r="10" spans="1:6" ht="24.95" customHeight="1" x14ac:dyDescent="0.2">
      <c r="A10" s="26" t="s">
        <v>54</v>
      </c>
      <c r="B10" s="27" t="s">
        <v>189</v>
      </c>
      <c r="C10" s="25">
        <v>360970</v>
      </c>
      <c r="D10" s="25">
        <f t="shared" si="2"/>
        <v>360970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320374</v>
      </c>
      <c r="D11" s="25">
        <f t="shared" si="2"/>
        <v>320374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112177</v>
      </c>
      <c r="D12" s="25">
        <f t="shared" si="2"/>
        <v>112177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46006</v>
      </c>
      <c r="D13" s="25">
        <f t="shared" si="2"/>
        <v>46006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8000</v>
      </c>
      <c r="D14" s="25">
        <f t="shared" si="2"/>
        <v>8000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2934</v>
      </c>
      <c r="D15" s="25">
        <f t="shared" si="2"/>
        <v>2934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183215</v>
      </c>
      <c r="D16" s="25">
        <f t="shared" si="2"/>
        <v>183215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184501</v>
      </c>
      <c r="D17" s="25">
        <f t="shared" si="2"/>
        <v>184501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115190</v>
      </c>
      <c r="D18" s="25">
        <f t="shared" si="2"/>
        <v>115190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45354</v>
      </c>
      <c r="D19" s="25">
        <f t="shared" si="2"/>
        <v>45354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136990</v>
      </c>
      <c r="D20" s="25">
        <f t="shared" si="2"/>
        <v>136990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48306</v>
      </c>
      <c r="D21" s="25">
        <f t="shared" si="2"/>
        <v>48306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13256</v>
      </c>
      <c r="D22" s="25">
        <f t="shared" si="2"/>
        <v>13256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13248</v>
      </c>
      <c r="D23" s="25">
        <f t="shared" si="2"/>
        <v>13248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181948</v>
      </c>
      <c r="D24" s="25">
        <f t="shared" si="2"/>
        <v>181948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78000</v>
      </c>
      <c r="D25" s="25">
        <f t="shared" si="2"/>
        <v>78000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659335</v>
      </c>
      <c r="D26" s="25">
        <f t="shared" si="2"/>
        <v>659335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657196</v>
      </c>
      <c r="D27" s="25">
        <f t="shared" si="2"/>
        <v>657196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916</v>
      </c>
      <c r="D28" s="25">
        <f t="shared" si="2"/>
        <v>916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1223</v>
      </c>
      <c r="D29" s="25">
        <f t="shared" si="2"/>
        <v>1223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13044</v>
      </c>
      <c r="D34" s="25">
        <f t="shared" si="2"/>
        <v>13044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0</v>
      </c>
      <c r="D36" s="25">
        <f t="shared" si="2"/>
        <v>0</v>
      </c>
      <c r="E36" s="25" t="str">
        <f>IF(C36=D36,"-",D36-C36)</f>
        <v>-</v>
      </c>
      <c r="F36" s="38" t="str">
        <f>IF(C36=0,"-",D36/C36)</f>
        <v>-</v>
      </c>
    </row>
    <row r="37" spans="1:21" ht="24.95" customHeight="1" x14ac:dyDescent="0.2">
      <c r="A37" s="5" t="s">
        <v>188</v>
      </c>
      <c r="B37" s="29" t="s">
        <v>215</v>
      </c>
      <c r="C37" s="25">
        <v>71686</v>
      </c>
      <c r="D37" s="25">
        <f t="shared" ref="D37:D39" si="3">C37</f>
        <v>71686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57015</v>
      </c>
      <c r="D38" s="25">
        <f t="shared" si="3"/>
        <v>57015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685</v>
      </c>
      <c r="D40" s="32">
        <f>C40</f>
        <v>685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160087</v>
      </c>
      <c r="D41" s="32">
        <f>C41</f>
        <v>160087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54969</v>
      </c>
      <c r="D42" s="32">
        <f>C42</f>
        <v>54969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635</v>
      </c>
      <c r="D44" s="32">
        <f>C44</f>
        <v>635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1089319</v>
      </c>
      <c r="D45" s="32">
        <f>D11+D13+D14+D26+D32+D42+D44</f>
        <v>1089319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36606</v>
      </c>
      <c r="D46" s="23">
        <f>D47+D48+D49+D57+D59+D65+D66+D64</f>
        <v>36606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1457</v>
      </c>
      <c r="D47" s="25">
        <f>C47</f>
        <v>1457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6901</v>
      </c>
      <c r="D48" s="25">
        <f t="shared" ref="D48:D66" si="6">C48</f>
        <v>6901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55</v>
      </c>
      <c r="D49" s="25">
        <f>D50+D52+D53+D54+D55+D56</f>
        <v>55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11</v>
      </c>
      <c r="D50" s="25">
        <f t="shared" si="6"/>
        <v>11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11</v>
      </c>
      <c r="D51" s="25">
        <f t="shared" si="6"/>
        <v>11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13</v>
      </c>
      <c r="D52" s="25">
        <f t="shared" si="6"/>
        <v>13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27</v>
      </c>
      <c r="D55" s="25">
        <f t="shared" si="6"/>
        <v>27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4</v>
      </c>
      <c r="D56" s="25">
        <f t="shared" si="6"/>
        <v>4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20722</v>
      </c>
      <c r="D57" s="25">
        <f t="shared" si="6"/>
        <v>20722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90</v>
      </c>
      <c r="D58" s="25">
        <f t="shared" si="6"/>
        <v>90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4654</v>
      </c>
      <c r="D59" s="25">
        <f>D60+D61+D62+D63</f>
        <v>4654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3560</v>
      </c>
      <c r="D60" s="25">
        <f t="shared" si="6"/>
        <v>3560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508</v>
      </c>
      <c r="D61" s="25">
        <f t="shared" si="6"/>
        <v>508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586</v>
      </c>
      <c r="D63" s="25">
        <f t="shared" si="6"/>
        <v>586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2520</v>
      </c>
      <c r="D65" s="25">
        <f t="shared" si="6"/>
        <v>2520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297</v>
      </c>
      <c r="D66" s="25">
        <f t="shared" si="6"/>
        <v>297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71243</v>
      </c>
      <c r="D67" s="23">
        <f>D68+D69+D70+D71</f>
        <v>51993</v>
      </c>
      <c r="E67" s="23">
        <f t="shared" si="0"/>
        <v>-19250</v>
      </c>
      <c r="F67" s="38">
        <f t="shared" si="1"/>
        <v>0.7298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31000</v>
      </c>
      <c r="D69" s="25">
        <f>C69-18800</f>
        <v>12200</v>
      </c>
      <c r="E69" s="25">
        <f t="shared" si="0"/>
        <v>-18800</v>
      </c>
      <c r="F69" s="38">
        <f t="shared" si="1"/>
        <v>0.39350000000000002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40243</v>
      </c>
      <c r="D71" s="25">
        <f>C71-38693+38205+38</f>
        <v>39793</v>
      </c>
      <c r="E71" s="25">
        <f t="shared" si="0"/>
        <v>-450</v>
      </c>
      <c r="F71" s="38">
        <f t="shared" si="1"/>
        <v>0.98880000000000001</v>
      </c>
    </row>
    <row r="72" spans="1:6" ht="24.95" customHeight="1" x14ac:dyDescent="0.2">
      <c r="A72" s="36" t="s">
        <v>133</v>
      </c>
      <c r="B72" s="31" t="s">
        <v>112</v>
      </c>
      <c r="C72" s="32">
        <v>5000</v>
      </c>
      <c r="D72" s="32">
        <f>C72-2800</f>
        <v>2200</v>
      </c>
      <c r="E72" s="32">
        <f t="shared" si="0"/>
        <v>-2800</v>
      </c>
      <c r="F72" s="38">
        <f t="shared" si="1"/>
        <v>0.44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>
    <pageSetUpPr fitToPage="1"/>
  </sheetPr>
  <dimension ref="A1:U74"/>
  <sheetViews>
    <sheetView showGridLines="0" view="pageBreakPreview" zoomScale="80" zoomScaleNormal="70" zoomScaleSheetLayoutView="80" workbookViewId="0">
      <pane xSplit="1" ySplit="6" topLeftCell="B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64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8857858</v>
      </c>
      <c r="D6" s="23">
        <f>D7+D8+D9+D16+D17+D18+D19+D20+D21+D22+D23+D24+D25+D26+D30+D31+D33+D34+D35+D36+D37+D39</f>
        <v>8863760</v>
      </c>
      <c r="E6" s="23">
        <f>IF(C6=D6,"-",D6-C6)</f>
        <v>5902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1235671</v>
      </c>
      <c r="D7" s="25">
        <f>C7</f>
        <v>1235671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489171</v>
      </c>
      <c r="D8" s="25">
        <f t="shared" ref="D8:D36" si="2">C8</f>
        <v>489171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4713138</v>
      </c>
      <c r="D9" s="25">
        <f>C9+5902</f>
        <v>4719040</v>
      </c>
      <c r="E9" s="25">
        <f t="shared" si="0"/>
        <v>5902</v>
      </c>
      <c r="F9" s="38">
        <f t="shared" si="1"/>
        <v>1.0013000000000001</v>
      </c>
    </row>
    <row r="10" spans="1:6" ht="24.95" customHeight="1" x14ac:dyDescent="0.2">
      <c r="A10" s="26" t="s">
        <v>54</v>
      </c>
      <c r="B10" s="27" t="s">
        <v>189</v>
      </c>
      <c r="C10" s="25">
        <v>438506</v>
      </c>
      <c r="D10" s="25">
        <f t="shared" si="2"/>
        <v>438506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394041</v>
      </c>
      <c r="D11" s="25">
        <f t="shared" si="2"/>
        <v>394041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103002</v>
      </c>
      <c r="D12" s="25">
        <f t="shared" si="2"/>
        <v>103002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49809</v>
      </c>
      <c r="D13" s="25">
        <f t="shared" si="2"/>
        <v>49809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2500</v>
      </c>
      <c r="D14" s="25">
        <f t="shared" si="2"/>
        <v>2500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18554</v>
      </c>
      <c r="D15" s="25">
        <f t="shared" si="2"/>
        <v>18554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253591</v>
      </c>
      <c r="D16" s="25">
        <f t="shared" si="2"/>
        <v>253591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305253</v>
      </c>
      <c r="D17" s="25">
        <f t="shared" si="2"/>
        <v>305253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233292</v>
      </c>
      <c r="D18" s="25">
        <f t="shared" si="2"/>
        <v>233292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85905</v>
      </c>
      <c r="D19" s="25">
        <f t="shared" si="2"/>
        <v>85905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218614</v>
      </c>
      <c r="D20" s="25">
        <f t="shared" si="2"/>
        <v>218614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63717</v>
      </c>
      <c r="D21" s="25">
        <f t="shared" si="2"/>
        <v>63717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15310</v>
      </c>
      <c r="D22" s="25">
        <f t="shared" si="2"/>
        <v>15310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22883</v>
      </c>
      <c r="D23" s="25">
        <f t="shared" si="2"/>
        <v>22883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271098</v>
      </c>
      <c r="D24" s="25">
        <f t="shared" si="2"/>
        <v>271098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103800</v>
      </c>
      <c r="D25" s="25">
        <f t="shared" si="2"/>
        <v>103800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755362</v>
      </c>
      <c r="D26" s="25">
        <f t="shared" si="2"/>
        <v>755362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751362</v>
      </c>
      <c r="D27" s="25">
        <f t="shared" si="2"/>
        <v>751362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3000</v>
      </c>
      <c r="D28" s="25">
        <f t="shared" si="2"/>
        <v>3000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1000</v>
      </c>
      <c r="D29" s="25">
        <f t="shared" si="2"/>
        <v>1000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20687</v>
      </c>
      <c r="D34" s="25">
        <f t="shared" si="2"/>
        <v>20687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700</v>
      </c>
      <c r="D36" s="25">
        <f t="shared" si="2"/>
        <v>700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69666</v>
      </c>
      <c r="D37" s="25">
        <f t="shared" ref="D37:D39" si="3">C37</f>
        <v>69666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46750</v>
      </c>
      <c r="D38" s="25">
        <f t="shared" si="3"/>
        <v>46750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888</v>
      </c>
      <c r="D40" s="32">
        <f>C40</f>
        <v>888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192466</v>
      </c>
      <c r="D41" s="32">
        <f>C41</f>
        <v>192466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68946</v>
      </c>
      <c r="D42" s="32">
        <f>C42</f>
        <v>68946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1084</v>
      </c>
      <c r="D44" s="32">
        <f>C44</f>
        <v>1084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1271742</v>
      </c>
      <c r="D45" s="32">
        <f>D11+D13+D14+D26+D32+D42+D44</f>
        <v>1271742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48247</v>
      </c>
      <c r="D46" s="23">
        <f>D47+D48+D49+D57+D59+D65+D66+D64</f>
        <v>48247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1965</v>
      </c>
      <c r="D47" s="25">
        <f>C47</f>
        <v>1965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9916</v>
      </c>
      <c r="D48" s="25">
        <f t="shared" ref="D48:D66" si="6">C48</f>
        <v>9916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229</v>
      </c>
      <c r="D49" s="25">
        <f>D50+D52+D53+D54+D55+D56</f>
        <v>229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27</v>
      </c>
      <c r="D50" s="25">
        <f t="shared" si="6"/>
        <v>27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27</v>
      </c>
      <c r="D51" s="25">
        <f t="shared" si="6"/>
        <v>27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57</v>
      </c>
      <c r="D52" s="25">
        <f t="shared" si="6"/>
        <v>57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0</v>
      </c>
      <c r="D55" s="25">
        <f t="shared" si="6"/>
        <v>0</v>
      </c>
      <c r="E55" s="25" t="str">
        <f t="shared" si="0"/>
        <v>-</v>
      </c>
      <c r="F55" s="38" t="str">
        <f t="shared" si="1"/>
        <v>-</v>
      </c>
    </row>
    <row r="56" spans="1:6" ht="24.95" customHeight="1" x14ac:dyDescent="0.2">
      <c r="A56" s="5" t="s">
        <v>43</v>
      </c>
      <c r="B56" s="2" t="s">
        <v>36</v>
      </c>
      <c r="C56" s="25">
        <v>145</v>
      </c>
      <c r="D56" s="25">
        <f t="shared" si="6"/>
        <v>145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25278</v>
      </c>
      <c r="D57" s="25">
        <f t="shared" si="6"/>
        <v>25278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0</v>
      </c>
      <c r="D58" s="25">
        <f t="shared" si="6"/>
        <v>0</v>
      </c>
      <c r="E58" s="25" t="str">
        <f t="shared" si="0"/>
        <v>-</v>
      </c>
      <c r="F58" s="38" t="str">
        <f t="shared" si="1"/>
        <v>-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5659</v>
      </c>
      <c r="D59" s="25">
        <f>D60+D61+D62+D63</f>
        <v>5659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4339</v>
      </c>
      <c r="D60" s="25">
        <f t="shared" si="6"/>
        <v>4339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620</v>
      </c>
      <c r="D61" s="25">
        <f t="shared" si="6"/>
        <v>620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700</v>
      </c>
      <c r="D63" s="25">
        <f t="shared" si="6"/>
        <v>700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4900</v>
      </c>
      <c r="D65" s="25">
        <f t="shared" si="6"/>
        <v>4900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300</v>
      </c>
      <c r="D66" s="25">
        <f t="shared" si="6"/>
        <v>300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22133</v>
      </c>
      <c r="D67" s="23">
        <f>D68+D69+D70+D71</f>
        <v>22133</v>
      </c>
      <c r="E67" s="23" t="str">
        <f t="shared" si="0"/>
        <v>-</v>
      </c>
      <c r="F67" s="38">
        <f t="shared" si="1"/>
        <v>1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11150</v>
      </c>
      <c r="D69" s="25">
        <f>C69</f>
        <v>11150</v>
      </c>
      <c r="E69" s="25" t="str">
        <f t="shared" si="0"/>
        <v>-</v>
      </c>
      <c r="F69" s="38">
        <f t="shared" si="1"/>
        <v>1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10983</v>
      </c>
      <c r="D71" s="25">
        <f>C71-7718+7675+43</f>
        <v>10983</v>
      </c>
      <c r="E71" s="25" t="str">
        <f t="shared" si="0"/>
        <v>-</v>
      </c>
      <c r="F71" s="38">
        <f t="shared" si="1"/>
        <v>1</v>
      </c>
    </row>
    <row r="72" spans="1:6" ht="24.95" customHeight="1" x14ac:dyDescent="0.2">
      <c r="A72" s="36" t="s">
        <v>133</v>
      </c>
      <c r="B72" s="31" t="s">
        <v>112</v>
      </c>
      <c r="C72" s="32">
        <v>300</v>
      </c>
      <c r="D72" s="32">
        <f>C72+4500</f>
        <v>4800</v>
      </c>
      <c r="E72" s="32">
        <f t="shared" si="0"/>
        <v>4500</v>
      </c>
      <c r="F72" s="38">
        <f t="shared" si="1"/>
        <v>16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>
    <pageSetUpPr fitToPage="1"/>
  </sheetPr>
  <dimension ref="A1:U74"/>
  <sheetViews>
    <sheetView showGridLines="0" view="pageBreakPreview" zoomScale="80" zoomScaleNormal="55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65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15037038</v>
      </c>
      <c r="D6" s="23">
        <f>D7+D8+D9+D16+D17+D18+D19+D20+D21+D22+D23+D24+D25+D26+D30+D31+D33+D34+D35+D36+D37+D39</f>
        <v>15046894</v>
      </c>
      <c r="E6" s="23">
        <f>IF(C6=D6,"-",D6-C6)</f>
        <v>9856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2047494</v>
      </c>
      <c r="D7" s="25">
        <f>C7</f>
        <v>2047494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809964</v>
      </c>
      <c r="D8" s="25">
        <f t="shared" ref="D8:D36" si="2">C8</f>
        <v>809964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8594085</v>
      </c>
      <c r="D9" s="25">
        <f>C9+9856</f>
        <v>8603941</v>
      </c>
      <c r="E9" s="25">
        <f t="shared" si="0"/>
        <v>9856</v>
      </c>
      <c r="F9" s="38">
        <f t="shared" si="1"/>
        <v>1.0011000000000001</v>
      </c>
    </row>
    <row r="10" spans="1:6" ht="24.95" customHeight="1" x14ac:dyDescent="0.2">
      <c r="A10" s="26" t="s">
        <v>54</v>
      </c>
      <c r="B10" s="27" t="s">
        <v>189</v>
      </c>
      <c r="C10" s="25">
        <v>814923</v>
      </c>
      <c r="D10" s="25">
        <f t="shared" si="2"/>
        <v>814923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733588</v>
      </c>
      <c r="D11" s="25">
        <f t="shared" si="2"/>
        <v>733588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230452</v>
      </c>
      <c r="D12" s="25">
        <f t="shared" si="2"/>
        <v>230452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88266</v>
      </c>
      <c r="D13" s="25">
        <f t="shared" si="2"/>
        <v>88266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4600</v>
      </c>
      <c r="D14" s="25">
        <f t="shared" si="2"/>
        <v>4600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75231</v>
      </c>
      <c r="D15" s="25">
        <f t="shared" si="2"/>
        <v>75231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464306</v>
      </c>
      <c r="D16" s="25">
        <f t="shared" si="2"/>
        <v>464306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573977</v>
      </c>
      <c r="D17" s="25">
        <f t="shared" si="2"/>
        <v>573977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264541</v>
      </c>
      <c r="D18" s="25">
        <f t="shared" si="2"/>
        <v>264541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96641</v>
      </c>
      <c r="D19" s="25">
        <f t="shared" si="2"/>
        <v>96641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242026</v>
      </c>
      <c r="D20" s="25">
        <f t="shared" si="2"/>
        <v>242026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115509</v>
      </c>
      <c r="D21" s="25">
        <f t="shared" si="2"/>
        <v>115509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40966</v>
      </c>
      <c r="D22" s="25">
        <f t="shared" si="2"/>
        <v>40966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31885</v>
      </c>
      <c r="D23" s="25">
        <f t="shared" si="2"/>
        <v>31885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272435</v>
      </c>
      <c r="D24" s="25">
        <f t="shared" si="2"/>
        <v>272435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190000</v>
      </c>
      <c r="D25" s="25">
        <f t="shared" si="2"/>
        <v>190000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1194942</v>
      </c>
      <c r="D26" s="25">
        <f t="shared" si="2"/>
        <v>1194942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1185336</v>
      </c>
      <c r="D27" s="25">
        <f t="shared" si="2"/>
        <v>1185336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3058</v>
      </c>
      <c r="D28" s="25">
        <f t="shared" si="2"/>
        <v>3058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6548</v>
      </c>
      <c r="D29" s="25">
        <f t="shared" si="2"/>
        <v>6548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1</v>
      </c>
      <c r="D34" s="25">
        <f t="shared" si="2"/>
        <v>1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1000</v>
      </c>
      <c r="D36" s="25">
        <f t="shared" si="2"/>
        <v>1000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97266</v>
      </c>
      <c r="D37" s="25">
        <f t="shared" ref="D37:D39" si="3">C37</f>
        <v>97266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59400</v>
      </c>
      <c r="D38" s="25">
        <f t="shared" si="3"/>
        <v>59400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835</v>
      </c>
      <c r="D40" s="32">
        <f>C40</f>
        <v>835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302373</v>
      </c>
      <c r="D41" s="32">
        <f>C41</f>
        <v>302373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109561</v>
      </c>
      <c r="D42" s="32">
        <f>C42</f>
        <v>109561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1747</v>
      </c>
      <c r="D44" s="32">
        <f>C44</f>
        <v>1747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2132704</v>
      </c>
      <c r="D45" s="32">
        <f>D11+D13+D14+D26+D32+D42+D44</f>
        <v>2132704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75636</v>
      </c>
      <c r="D46" s="23">
        <f>D47+D48+D49+D57+D59+D65+D66+D64</f>
        <v>75636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2181</v>
      </c>
      <c r="D47" s="25">
        <f>C47</f>
        <v>2181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12981</v>
      </c>
      <c r="D48" s="25">
        <f t="shared" ref="D48:D66" si="6">C48</f>
        <v>12981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250</v>
      </c>
      <c r="D49" s="25">
        <f>D50+D52+D53+D54+D55+D56</f>
        <v>250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21</v>
      </c>
      <c r="D50" s="25">
        <f t="shared" si="6"/>
        <v>21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21</v>
      </c>
      <c r="D51" s="25">
        <f t="shared" si="6"/>
        <v>21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12</v>
      </c>
      <c r="D52" s="25">
        <f t="shared" si="6"/>
        <v>12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206</v>
      </c>
      <c r="D55" s="25">
        <f t="shared" si="6"/>
        <v>206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11</v>
      </c>
      <c r="D56" s="25">
        <f t="shared" si="6"/>
        <v>11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46665</v>
      </c>
      <c r="D57" s="25">
        <f t="shared" si="6"/>
        <v>46665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0</v>
      </c>
      <c r="D58" s="25">
        <f t="shared" si="6"/>
        <v>0</v>
      </c>
      <c r="E58" s="25" t="str">
        <f t="shared" si="0"/>
        <v>-</v>
      </c>
      <c r="F58" s="38" t="str">
        <f t="shared" si="1"/>
        <v>-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10412</v>
      </c>
      <c r="D59" s="25">
        <f>D60+D61+D62+D63</f>
        <v>10412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8012</v>
      </c>
      <c r="D60" s="25">
        <f t="shared" si="6"/>
        <v>8012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1144</v>
      </c>
      <c r="D61" s="25">
        <f t="shared" si="6"/>
        <v>1144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1256</v>
      </c>
      <c r="D63" s="25">
        <f t="shared" si="6"/>
        <v>1256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2732</v>
      </c>
      <c r="D65" s="25">
        <f t="shared" si="6"/>
        <v>2732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415</v>
      </c>
      <c r="D66" s="25">
        <f t="shared" si="6"/>
        <v>415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137008</v>
      </c>
      <c r="D67" s="23">
        <f>D68+D69+D70+D71</f>
        <v>138091</v>
      </c>
      <c r="E67" s="23">
        <f t="shared" si="0"/>
        <v>1083</v>
      </c>
      <c r="F67" s="38">
        <f t="shared" si="1"/>
        <v>1.0079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8645</v>
      </c>
      <c r="D69" s="25">
        <f>C69-3510</f>
        <v>5135</v>
      </c>
      <c r="E69" s="25">
        <f t="shared" si="0"/>
        <v>-3510</v>
      </c>
      <c r="F69" s="38">
        <f t="shared" si="1"/>
        <v>0.59399999999999997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128363</v>
      </c>
      <c r="D71" s="25">
        <f>C71-116063+117853+2755+48</f>
        <v>132956</v>
      </c>
      <c r="E71" s="25">
        <f t="shared" si="0"/>
        <v>4593</v>
      </c>
      <c r="F71" s="38">
        <f t="shared" si="1"/>
        <v>1.0358000000000001</v>
      </c>
    </row>
    <row r="72" spans="1:6" ht="24.95" customHeight="1" x14ac:dyDescent="0.2">
      <c r="A72" s="36" t="s">
        <v>133</v>
      </c>
      <c r="B72" s="31" t="s">
        <v>112</v>
      </c>
      <c r="C72" s="32">
        <v>5617</v>
      </c>
      <c r="D72" s="32">
        <f>C72+1104</f>
        <v>6721</v>
      </c>
      <c r="E72" s="32">
        <f t="shared" si="0"/>
        <v>1104</v>
      </c>
      <c r="F72" s="38">
        <f t="shared" si="1"/>
        <v>1.1964999999999999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1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66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2470040</v>
      </c>
      <c r="D6" s="23">
        <f>D7+D8+D9+D16+D17+D18+D19+D20+D21+D22+D23+D24+D25+D26+D30+D31+D33+D34+D35+D36+D37+D39</f>
        <v>2471661</v>
      </c>
      <c r="E6" s="23">
        <f>IF(C6=D6,"-",D6-C6)</f>
        <v>1621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331616</v>
      </c>
      <c r="D7" s="25">
        <f>C7</f>
        <v>331616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130198</v>
      </c>
      <c r="D8" s="25">
        <f t="shared" ref="D8:D36" si="2">C8</f>
        <v>130198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1317734</v>
      </c>
      <c r="D9" s="25">
        <f>C9+1621</f>
        <v>1319355</v>
      </c>
      <c r="E9" s="25">
        <f t="shared" si="0"/>
        <v>1621</v>
      </c>
      <c r="F9" s="38">
        <f t="shared" si="1"/>
        <v>1.0012000000000001</v>
      </c>
    </row>
    <row r="10" spans="1:6" ht="24.95" customHeight="1" x14ac:dyDescent="0.2">
      <c r="A10" s="26" t="s">
        <v>54</v>
      </c>
      <c r="B10" s="27" t="s">
        <v>189</v>
      </c>
      <c r="C10" s="25">
        <v>96702</v>
      </c>
      <c r="D10" s="25">
        <f t="shared" si="2"/>
        <v>96702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88212</v>
      </c>
      <c r="D11" s="25">
        <f t="shared" si="2"/>
        <v>88212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33443</v>
      </c>
      <c r="D12" s="25">
        <f t="shared" si="2"/>
        <v>33443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15754</v>
      </c>
      <c r="D13" s="25">
        <f t="shared" si="2"/>
        <v>15754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3100</v>
      </c>
      <c r="D14" s="25">
        <f t="shared" si="2"/>
        <v>3100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0</v>
      </c>
      <c r="D15" s="25">
        <f t="shared" si="2"/>
        <v>0</v>
      </c>
      <c r="E15" s="25" t="str">
        <f t="shared" si="0"/>
        <v>-</v>
      </c>
      <c r="F15" s="38" t="str">
        <f t="shared" si="1"/>
        <v>-</v>
      </c>
    </row>
    <row r="16" spans="1:6" ht="24.95" customHeight="1" x14ac:dyDescent="0.2">
      <c r="A16" s="4" t="s">
        <v>4</v>
      </c>
      <c r="B16" s="24" t="s">
        <v>121</v>
      </c>
      <c r="C16" s="25">
        <v>87525</v>
      </c>
      <c r="D16" s="25">
        <f t="shared" si="2"/>
        <v>87525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82246</v>
      </c>
      <c r="D17" s="25">
        <f t="shared" si="2"/>
        <v>82246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77617</v>
      </c>
      <c r="D18" s="25">
        <f t="shared" si="2"/>
        <v>77617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28328</v>
      </c>
      <c r="D19" s="25">
        <f t="shared" si="2"/>
        <v>28328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40515</v>
      </c>
      <c r="D20" s="25">
        <f t="shared" si="2"/>
        <v>40515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14175</v>
      </c>
      <c r="D21" s="25">
        <f t="shared" si="2"/>
        <v>14175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9698</v>
      </c>
      <c r="D22" s="25">
        <f t="shared" si="2"/>
        <v>9698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5978</v>
      </c>
      <c r="D23" s="25">
        <f t="shared" si="2"/>
        <v>5978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63722</v>
      </c>
      <c r="D24" s="25">
        <f t="shared" si="2"/>
        <v>63722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30314</v>
      </c>
      <c r="D25" s="25">
        <f t="shared" si="2"/>
        <v>30314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217800</v>
      </c>
      <c r="D26" s="25">
        <f t="shared" si="2"/>
        <v>217800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216950</v>
      </c>
      <c r="D27" s="25">
        <f t="shared" si="2"/>
        <v>216950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350</v>
      </c>
      <c r="D28" s="25">
        <f t="shared" si="2"/>
        <v>350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500</v>
      </c>
      <c r="D29" s="25">
        <f t="shared" si="2"/>
        <v>500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23347</v>
      </c>
      <c r="D34" s="25">
        <f t="shared" si="2"/>
        <v>23347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200</v>
      </c>
      <c r="D36" s="25">
        <f t="shared" si="2"/>
        <v>200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9027</v>
      </c>
      <c r="D37" s="25">
        <f t="shared" ref="D37:D39" si="3">C37</f>
        <v>9027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2500</v>
      </c>
      <c r="D38" s="25">
        <f t="shared" si="3"/>
        <v>2500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1262</v>
      </c>
      <c r="D40" s="32">
        <f>C40</f>
        <v>1262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70882</v>
      </c>
      <c r="D41" s="32">
        <f>C41</f>
        <v>70882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21234</v>
      </c>
      <c r="D42" s="32">
        <f>C42</f>
        <v>21234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249</v>
      </c>
      <c r="D44" s="32">
        <f>C44</f>
        <v>249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346349</v>
      </c>
      <c r="D45" s="32">
        <f>D11+D13+D14+D26+D32+D42+D44</f>
        <v>346349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21319</v>
      </c>
      <c r="D46" s="23">
        <f>D47+D48+D49+D57+D59+D65+D66+D64</f>
        <v>21319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592</v>
      </c>
      <c r="D47" s="25">
        <f>C47</f>
        <v>592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4943</v>
      </c>
      <c r="D48" s="25">
        <f t="shared" ref="D48:D66" si="6">C48</f>
        <v>4943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145</v>
      </c>
      <c r="D49" s="25">
        <f>D50+D52+D53+D54+D55+D56</f>
        <v>145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0</v>
      </c>
      <c r="D50" s="25">
        <f t="shared" si="6"/>
        <v>0</v>
      </c>
      <c r="E50" s="25" t="str">
        <f t="shared" si="0"/>
        <v>-</v>
      </c>
      <c r="F50" s="38" t="str">
        <f t="shared" si="1"/>
        <v>-</v>
      </c>
    </row>
    <row r="51" spans="1:6" ht="24.95" customHeight="1" x14ac:dyDescent="0.2">
      <c r="A51" s="5" t="s">
        <v>38</v>
      </c>
      <c r="B51" s="3" t="s">
        <v>31</v>
      </c>
      <c r="C51" s="25">
        <v>0</v>
      </c>
      <c r="D51" s="25">
        <f t="shared" si="6"/>
        <v>0</v>
      </c>
      <c r="E51" s="25" t="str">
        <f t="shared" si="0"/>
        <v>-</v>
      </c>
      <c r="F51" s="38" t="str">
        <f t="shared" si="1"/>
        <v>-</v>
      </c>
    </row>
    <row r="52" spans="1:6" ht="24.95" customHeight="1" x14ac:dyDescent="0.2">
      <c r="A52" s="5" t="s">
        <v>39</v>
      </c>
      <c r="B52" s="2" t="s">
        <v>32</v>
      </c>
      <c r="C52" s="25">
        <v>8</v>
      </c>
      <c r="D52" s="25">
        <f t="shared" si="6"/>
        <v>8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131</v>
      </c>
      <c r="D55" s="25">
        <f t="shared" si="6"/>
        <v>131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6</v>
      </c>
      <c r="D56" s="25">
        <f t="shared" si="6"/>
        <v>6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11130</v>
      </c>
      <c r="D57" s="25">
        <f t="shared" si="6"/>
        <v>11130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7</v>
      </c>
      <c r="D58" s="25">
        <f t="shared" si="6"/>
        <v>7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2566</v>
      </c>
      <c r="D59" s="25">
        <f>D60+D61+D62+D63</f>
        <v>2566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1910</v>
      </c>
      <c r="D60" s="25">
        <f t="shared" si="6"/>
        <v>1910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272</v>
      </c>
      <c r="D61" s="25">
        <f t="shared" si="6"/>
        <v>272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384</v>
      </c>
      <c r="D63" s="25">
        <f t="shared" si="6"/>
        <v>384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1620</v>
      </c>
      <c r="D65" s="25">
        <f t="shared" si="6"/>
        <v>1620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323</v>
      </c>
      <c r="D66" s="25">
        <f t="shared" si="6"/>
        <v>323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11906</v>
      </c>
      <c r="D67" s="23">
        <f>D68+D69+D70+D71</f>
        <v>12218</v>
      </c>
      <c r="E67" s="23">
        <f t="shared" si="0"/>
        <v>312</v>
      </c>
      <c r="F67" s="38">
        <f t="shared" si="1"/>
        <v>1.0262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1148</v>
      </c>
      <c r="D69" s="25">
        <f>C69+269</f>
        <v>1417</v>
      </c>
      <c r="E69" s="25">
        <f t="shared" si="0"/>
        <v>269</v>
      </c>
      <c r="F69" s="38">
        <f t="shared" si="1"/>
        <v>1.2343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10758</v>
      </c>
      <c r="D71" s="25">
        <f>C71-10107+10140+10</f>
        <v>10801</v>
      </c>
      <c r="E71" s="25">
        <f t="shared" si="0"/>
        <v>43</v>
      </c>
      <c r="F71" s="38">
        <f t="shared" si="1"/>
        <v>1.004</v>
      </c>
    </row>
    <row r="72" spans="1:6" ht="24.95" customHeight="1" x14ac:dyDescent="0.2">
      <c r="A72" s="36" t="s">
        <v>133</v>
      </c>
      <c r="B72" s="31" t="s">
        <v>112</v>
      </c>
      <c r="C72" s="32">
        <v>1238</v>
      </c>
      <c r="D72" s="32">
        <f>C72-471</f>
        <v>767</v>
      </c>
      <c r="E72" s="32">
        <f t="shared" si="0"/>
        <v>-471</v>
      </c>
      <c r="F72" s="38">
        <f t="shared" si="1"/>
        <v>0.61950000000000005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2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67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5345147</v>
      </c>
      <c r="D6" s="23">
        <f>D7+D8+D9+D16+D17+D18+D19+D20+D21+D22+D23+D24+D25+D26+D30+D31+D33+D34+D35+D36+D37+D39</f>
        <v>5348708</v>
      </c>
      <c r="E6" s="23">
        <f>IF(C6=D6,"-",D6-C6)</f>
        <v>3561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749818</v>
      </c>
      <c r="D7" s="25">
        <f>C7</f>
        <v>749818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295415</v>
      </c>
      <c r="D8" s="25">
        <f t="shared" ref="D8:D36" si="2">C8</f>
        <v>295415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2842775</v>
      </c>
      <c r="D9" s="25">
        <f>C9+3561</f>
        <v>2846336</v>
      </c>
      <c r="E9" s="25">
        <f t="shared" si="0"/>
        <v>3561</v>
      </c>
      <c r="F9" s="38">
        <f t="shared" si="1"/>
        <v>1.0013000000000001</v>
      </c>
    </row>
    <row r="10" spans="1:6" ht="24.95" customHeight="1" x14ac:dyDescent="0.2">
      <c r="A10" s="26" t="s">
        <v>54</v>
      </c>
      <c r="B10" s="27" t="s">
        <v>189</v>
      </c>
      <c r="C10" s="25">
        <v>270770</v>
      </c>
      <c r="D10" s="25">
        <f t="shared" si="2"/>
        <v>270770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247439</v>
      </c>
      <c r="D11" s="25">
        <f t="shared" si="2"/>
        <v>247439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71352</v>
      </c>
      <c r="D12" s="25">
        <f t="shared" si="2"/>
        <v>71352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27952</v>
      </c>
      <c r="D13" s="25">
        <f t="shared" si="2"/>
        <v>27952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1500</v>
      </c>
      <c r="D14" s="25">
        <f t="shared" si="2"/>
        <v>1500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0</v>
      </c>
      <c r="D15" s="25">
        <f t="shared" si="2"/>
        <v>0</v>
      </c>
      <c r="E15" s="25" t="str">
        <f t="shared" si="0"/>
        <v>-</v>
      </c>
      <c r="F15" s="38" t="str">
        <f t="shared" si="1"/>
        <v>-</v>
      </c>
    </row>
    <row r="16" spans="1:6" ht="24.95" customHeight="1" x14ac:dyDescent="0.2">
      <c r="A16" s="4" t="s">
        <v>4</v>
      </c>
      <c r="B16" s="24" t="s">
        <v>121</v>
      </c>
      <c r="C16" s="25">
        <v>150021</v>
      </c>
      <c r="D16" s="25">
        <f t="shared" si="2"/>
        <v>150021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215370</v>
      </c>
      <c r="D17" s="25">
        <f t="shared" si="2"/>
        <v>215370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170452</v>
      </c>
      <c r="D18" s="25">
        <f t="shared" si="2"/>
        <v>170452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61646</v>
      </c>
      <c r="D19" s="25">
        <f t="shared" si="2"/>
        <v>61646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118188</v>
      </c>
      <c r="D20" s="25">
        <f t="shared" si="2"/>
        <v>118188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42087</v>
      </c>
      <c r="D21" s="25">
        <f t="shared" si="2"/>
        <v>42087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18563</v>
      </c>
      <c r="D22" s="25">
        <f t="shared" si="2"/>
        <v>18563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8017</v>
      </c>
      <c r="D23" s="25">
        <f t="shared" si="2"/>
        <v>8017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114124</v>
      </c>
      <c r="D24" s="25">
        <f t="shared" si="2"/>
        <v>114124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58500</v>
      </c>
      <c r="D25" s="25">
        <f t="shared" si="2"/>
        <v>58500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423952</v>
      </c>
      <c r="D26" s="25">
        <f t="shared" si="2"/>
        <v>423952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420952</v>
      </c>
      <c r="D27" s="25">
        <f t="shared" si="2"/>
        <v>420952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2000</v>
      </c>
      <c r="D28" s="25">
        <f t="shared" si="2"/>
        <v>2000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1000</v>
      </c>
      <c r="D29" s="25">
        <f t="shared" si="2"/>
        <v>1000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43600</v>
      </c>
      <c r="D34" s="25">
        <f t="shared" si="2"/>
        <v>43600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100</v>
      </c>
      <c r="D36" s="25">
        <f t="shared" si="2"/>
        <v>100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32519</v>
      </c>
      <c r="D37" s="25">
        <f t="shared" ref="D37:D39" si="3">C37</f>
        <v>32519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25803</v>
      </c>
      <c r="D38" s="25">
        <f t="shared" si="3"/>
        <v>25803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195</v>
      </c>
      <c r="D40" s="32">
        <f>C40</f>
        <v>195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140727</v>
      </c>
      <c r="D41" s="32">
        <f>C41</f>
        <v>140727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36000</v>
      </c>
      <c r="D42" s="32">
        <f>C42</f>
        <v>36000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605</v>
      </c>
      <c r="D44" s="32">
        <f>C44</f>
        <v>605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737448</v>
      </c>
      <c r="D45" s="32">
        <f>D11+D13+D14+D26+D32+D42+D44</f>
        <v>737448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28262</v>
      </c>
      <c r="D46" s="23">
        <f>D47+D48+D49+D57+D59+D65+D66+D64</f>
        <v>28262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1306</v>
      </c>
      <c r="D47" s="25">
        <f>C47</f>
        <v>1306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3189</v>
      </c>
      <c r="D48" s="25">
        <f t="shared" ref="D48:D66" si="6">C48</f>
        <v>3189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82</v>
      </c>
      <c r="D49" s="25">
        <f>D50+D52+D53+D54+D55+D56</f>
        <v>82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31</v>
      </c>
      <c r="D50" s="25">
        <f t="shared" si="6"/>
        <v>31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31</v>
      </c>
      <c r="D51" s="25">
        <f t="shared" si="6"/>
        <v>31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13</v>
      </c>
      <c r="D52" s="25">
        <f t="shared" si="6"/>
        <v>13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0</v>
      </c>
      <c r="D55" s="25">
        <f t="shared" si="6"/>
        <v>0</v>
      </c>
      <c r="E55" s="25" t="str">
        <f t="shared" si="0"/>
        <v>-</v>
      </c>
      <c r="F55" s="38" t="str">
        <f t="shared" si="1"/>
        <v>-</v>
      </c>
    </row>
    <row r="56" spans="1:6" ht="24.95" customHeight="1" x14ac:dyDescent="0.2">
      <c r="A56" s="5" t="s">
        <v>43</v>
      </c>
      <c r="B56" s="2" t="s">
        <v>36</v>
      </c>
      <c r="C56" s="25">
        <v>38</v>
      </c>
      <c r="D56" s="25">
        <f t="shared" si="6"/>
        <v>38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16671</v>
      </c>
      <c r="D57" s="25">
        <f t="shared" si="6"/>
        <v>16671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0</v>
      </c>
      <c r="D58" s="25">
        <f t="shared" si="6"/>
        <v>0</v>
      </c>
      <c r="E58" s="25" t="str">
        <f t="shared" si="0"/>
        <v>-</v>
      </c>
      <c r="F58" s="38" t="str">
        <f t="shared" si="1"/>
        <v>-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3728</v>
      </c>
      <c r="D59" s="25">
        <f>D60+D61+D62+D63</f>
        <v>3728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2863</v>
      </c>
      <c r="D60" s="25">
        <f t="shared" si="6"/>
        <v>2863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409</v>
      </c>
      <c r="D61" s="25">
        <f t="shared" si="6"/>
        <v>409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456</v>
      </c>
      <c r="D63" s="25">
        <f t="shared" si="6"/>
        <v>456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3000</v>
      </c>
      <c r="D65" s="25">
        <f t="shared" si="6"/>
        <v>3000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286</v>
      </c>
      <c r="D66" s="25">
        <f t="shared" si="6"/>
        <v>286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25453</v>
      </c>
      <c r="D67" s="23">
        <f>D68+D69+D70+D71</f>
        <v>23653</v>
      </c>
      <c r="E67" s="23">
        <f t="shared" si="0"/>
        <v>-1800</v>
      </c>
      <c r="F67" s="38">
        <f t="shared" si="1"/>
        <v>0.92930000000000001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3300</v>
      </c>
      <c r="D69" s="25">
        <f>C69-300</f>
        <v>3000</v>
      </c>
      <c r="E69" s="25">
        <f t="shared" si="0"/>
        <v>-300</v>
      </c>
      <c r="F69" s="38">
        <f t="shared" si="1"/>
        <v>0.90910000000000002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22153</v>
      </c>
      <c r="D71" s="25">
        <f>C71-21153+19627+26</f>
        <v>20653</v>
      </c>
      <c r="E71" s="25">
        <f t="shared" si="0"/>
        <v>-1500</v>
      </c>
      <c r="F71" s="38">
        <f t="shared" si="1"/>
        <v>0.93230000000000002</v>
      </c>
    </row>
    <row r="72" spans="1:6" ht="24.95" customHeight="1" x14ac:dyDescent="0.2">
      <c r="A72" s="36" t="s">
        <v>133</v>
      </c>
      <c r="B72" s="31" t="s">
        <v>112</v>
      </c>
      <c r="C72" s="32">
        <v>400</v>
      </c>
      <c r="D72" s="32">
        <f>C72+1000</f>
        <v>1400</v>
      </c>
      <c r="E72" s="32">
        <f t="shared" si="0"/>
        <v>1000</v>
      </c>
      <c r="F72" s="38">
        <f t="shared" si="1"/>
        <v>3.5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68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3094723</v>
      </c>
      <c r="D6" s="23">
        <f>D7+D8+D9+D16+D17+D18+D19+D20+D21+D22+D23+D24+D25+D26+D30+D31+D33+D34+D35+D36+D37+D39</f>
        <v>3096747</v>
      </c>
      <c r="E6" s="23">
        <f>IF(C6=D6,"-",D6-C6)</f>
        <v>2024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408866</v>
      </c>
      <c r="D7" s="25">
        <f>C7</f>
        <v>408866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190607</v>
      </c>
      <c r="D8" s="25">
        <f t="shared" ref="D8:D36" si="2">C8</f>
        <v>190607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1728768</v>
      </c>
      <c r="D9" s="25">
        <f>C9+2024</f>
        <v>1730792</v>
      </c>
      <c r="E9" s="25">
        <f t="shared" si="0"/>
        <v>2024</v>
      </c>
      <c r="F9" s="38">
        <f t="shared" si="1"/>
        <v>1.0012000000000001</v>
      </c>
    </row>
    <row r="10" spans="1:6" ht="24.95" customHeight="1" x14ac:dyDescent="0.2">
      <c r="A10" s="26" t="s">
        <v>54</v>
      </c>
      <c r="B10" s="27" t="s">
        <v>189</v>
      </c>
      <c r="C10" s="25">
        <v>153220</v>
      </c>
      <c r="D10" s="25">
        <f t="shared" si="2"/>
        <v>153220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137200</v>
      </c>
      <c r="D11" s="25">
        <f t="shared" si="2"/>
        <v>137200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52260</v>
      </c>
      <c r="D12" s="25">
        <f t="shared" si="2"/>
        <v>52260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23350</v>
      </c>
      <c r="D13" s="25">
        <f t="shared" si="2"/>
        <v>23350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1250</v>
      </c>
      <c r="D14" s="25">
        <f t="shared" si="2"/>
        <v>1250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0</v>
      </c>
      <c r="D15" s="25">
        <f t="shared" si="2"/>
        <v>0</v>
      </c>
      <c r="E15" s="25" t="str">
        <f t="shared" si="0"/>
        <v>-</v>
      </c>
      <c r="F15" s="38" t="str">
        <f t="shared" si="1"/>
        <v>-</v>
      </c>
    </row>
    <row r="16" spans="1:6" ht="24.95" customHeight="1" x14ac:dyDescent="0.2">
      <c r="A16" s="4" t="s">
        <v>4</v>
      </c>
      <c r="B16" s="24" t="s">
        <v>121</v>
      </c>
      <c r="C16" s="25">
        <v>95436</v>
      </c>
      <c r="D16" s="25">
        <f t="shared" si="2"/>
        <v>95436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77725</v>
      </c>
      <c r="D17" s="25">
        <f t="shared" si="2"/>
        <v>77725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53162</v>
      </c>
      <c r="D18" s="25">
        <f t="shared" si="2"/>
        <v>53162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24846</v>
      </c>
      <c r="D19" s="25">
        <f t="shared" si="2"/>
        <v>24846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67380</v>
      </c>
      <c r="D20" s="25">
        <f t="shared" si="2"/>
        <v>67380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22495</v>
      </c>
      <c r="D21" s="25">
        <f t="shared" si="2"/>
        <v>22495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13179</v>
      </c>
      <c r="D22" s="25">
        <f t="shared" si="2"/>
        <v>13179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5731</v>
      </c>
      <c r="D23" s="25">
        <f t="shared" si="2"/>
        <v>5731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75283</v>
      </c>
      <c r="D24" s="25">
        <f t="shared" si="2"/>
        <v>75283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37100</v>
      </c>
      <c r="D25" s="25">
        <f t="shared" si="2"/>
        <v>37100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241200</v>
      </c>
      <c r="D26" s="25">
        <f t="shared" si="2"/>
        <v>241200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238900</v>
      </c>
      <c r="D27" s="25">
        <f t="shared" si="2"/>
        <v>238900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1250</v>
      </c>
      <c r="D28" s="25">
        <f t="shared" si="2"/>
        <v>1250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1050</v>
      </c>
      <c r="D29" s="25">
        <f t="shared" si="2"/>
        <v>1050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9834</v>
      </c>
      <c r="D34" s="25">
        <f t="shared" si="2"/>
        <v>9834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200</v>
      </c>
      <c r="D36" s="25">
        <f t="shared" si="2"/>
        <v>200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42911</v>
      </c>
      <c r="D37" s="25">
        <f t="shared" ref="D37:D39" si="3">C37</f>
        <v>42911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35039</v>
      </c>
      <c r="D38" s="25">
        <f t="shared" si="3"/>
        <v>35039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256</v>
      </c>
      <c r="D40" s="32">
        <f>C40</f>
        <v>256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91176</v>
      </c>
      <c r="D41" s="32">
        <f>C41</f>
        <v>91176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24306</v>
      </c>
      <c r="D42" s="32">
        <f>C42</f>
        <v>24306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333</v>
      </c>
      <c r="D44" s="32">
        <f>C44</f>
        <v>333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427639</v>
      </c>
      <c r="D45" s="32">
        <f>D11+D13+D14+D26+D32+D42+D44</f>
        <v>427639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18608</v>
      </c>
      <c r="D46" s="23">
        <f>D47+D48+D49+D57+D59+D65+D66+D64</f>
        <v>18608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756</v>
      </c>
      <c r="D47" s="25">
        <f>C47</f>
        <v>756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1556</v>
      </c>
      <c r="D48" s="25">
        <f t="shared" ref="D48:D66" si="6">C48</f>
        <v>1556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120</v>
      </c>
      <c r="D49" s="25">
        <f>D50+D52+D53+D54+D55+D56</f>
        <v>120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19</v>
      </c>
      <c r="D50" s="25">
        <f t="shared" si="6"/>
        <v>19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19</v>
      </c>
      <c r="D51" s="25">
        <f t="shared" si="6"/>
        <v>19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92</v>
      </c>
      <c r="D52" s="25">
        <f t="shared" si="6"/>
        <v>92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3</v>
      </c>
      <c r="D55" s="25">
        <f t="shared" si="6"/>
        <v>3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6</v>
      </c>
      <c r="D56" s="25">
        <f t="shared" si="6"/>
        <v>6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11572</v>
      </c>
      <c r="D57" s="25">
        <f t="shared" si="6"/>
        <v>11572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0</v>
      </c>
      <c r="D58" s="25">
        <f t="shared" si="6"/>
        <v>0</v>
      </c>
      <c r="E58" s="25" t="str">
        <f t="shared" si="0"/>
        <v>-</v>
      </c>
      <c r="F58" s="38" t="str">
        <f t="shared" si="1"/>
        <v>-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2595</v>
      </c>
      <c r="D59" s="25">
        <f>D60+D61+D62+D63</f>
        <v>2595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1988</v>
      </c>
      <c r="D60" s="25">
        <f t="shared" si="6"/>
        <v>1988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284</v>
      </c>
      <c r="D61" s="25">
        <f t="shared" si="6"/>
        <v>284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323</v>
      </c>
      <c r="D63" s="25">
        <f t="shared" si="6"/>
        <v>323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1852</v>
      </c>
      <c r="D65" s="25">
        <f t="shared" si="6"/>
        <v>1852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157</v>
      </c>
      <c r="D66" s="25">
        <f t="shared" si="6"/>
        <v>157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24795</v>
      </c>
      <c r="D67" s="23">
        <f>D68+D69+D70+D71</f>
        <v>24537</v>
      </c>
      <c r="E67" s="23">
        <f t="shared" si="0"/>
        <v>-258</v>
      </c>
      <c r="F67" s="38">
        <f t="shared" si="1"/>
        <v>0.98960000000000004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300</v>
      </c>
      <c r="D69" s="25">
        <f>C69-180</f>
        <v>120</v>
      </c>
      <c r="E69" s="25">
        <f t="shared" si="0"/>
        <v>-180</v>
      </c>
      <c r="F69" s="38">
        <f t="shared" si="1"/>
        <v>0.4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24495</v>
      </c>
      <c r="D71" s="25">
        <f>C71-23865+23774+13</f>
        <v>24417</v>
      </c>
      <c r="E71" s="25">
        <f t="shared" si="0"/>
        <v>-78</v>
      </c>
      <c r="F71" s="38">
        <f t="shared" si="1"/>
        <v>0.99680000000000002</v>
      </c>
    </row>
    <row r="72" spans="1:6" ht="24.95" customHeight="1" x14ac:dyDescent="0.2">
      <c r="A72" s="36" t="s">
        <v>133</v>
      </c>
      <c r="B72" s="31" t="s">
        <v>112</v>
      </c>
      <c r="C72" s="32">
        <v>204</v>
      </c>
      <c r="D72" s="32">
        <f>C72-54</f>
        <v>150</v>
      </c>
      <c r="E72" s="32">
        <f t="shared" si="0"/>
        <v>-54</v>
      </c>
      <c r="F72" s="38">
        <f t="shared" si="1"/>
        <v>0.73529999999999995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69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5813972</v>
      </c>
      <c r="D6" s="23">
        <f>D7+D8+D9+D16+D17+D18+D19+D20+D21+D22+D23+D24+D25+D26+D30+D31+D33+D34+D35+D36+D37+D39</f>
        <v>5817912</v>
      </c>
      <c r="E6" s="23">
        <f>IF(C6=D6,"-",D6-C6)</f>
        <v>3940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841079</v>
      </c>
      <c r="D7" s="25">
        <f>C7</f>
        <v>841079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361428</v>
      </c>
      <c r="D8" s="25">
        <f t="shared" ref="D8:D36" si="2">C8</f>
        <v>361428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3083515</v>
      </c>
      <c r="D9" s="25">
        <f>C9+3940</f>
        <v>3087455</v>
      </c>
      <c r="E9" s="25">
        <f t="shared" si="0"/>
        <v>3940</v>
      </c>
      <c r="F9" s="38">
        <f t="shared" si="1"/>
        <v>1.0013000000000001</v>
      </c>
    </row>
    <row r="10" spans="1:6" ht="24.95" customHeight="1" x14ac:dyDescent="0.2">
      <c r="A10" s="26" t="s">
        <v>54</v>
      </c>
      <c r="B10" s="27" t="s">
        <v>189</v>
      </c>
      <c r="C10" s="25">
        <v>319567</v>
      </c>
      <c r="D10" s="25">
        <f t="shared" si="2"/>
        <v>319567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293023</v>
      </c>
      <c r="D11" s="25">
        <f t="shared" si="2"/>
        <v>293023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82562</v>
      </c>
      <c r="D12" s="25">
        <f t="shared" si="2"/>
        <v>82562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43298</v>
      </c>
      <c r="D13" s="25">
        <f t="shared" si="2"/>
        <v>43298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1640</v>
      </c>
      <c r="D14" s="25">
        <f t="shared" si="2"/>
        <v>1640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23160</v>
      </c>
      <c r="D15" s="25">
        <f t="shared" si="2"/>
        <v>23160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217551</v>
      </c>
      <c r="D16" s="25">
        <f t="shared" si="2"/>
        <v>217551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164236</v>
      </c>
      <c r="D17" s="25">
        <f t="shared" si="2"/>
        <v>164236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76591</v>
      </c>
      <c r="D18" s="25">
        <f t="shared" si="2"/>
        <v>76591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54230</v>
      </c>
      <c r="D19" s="25">
        <f t="shared" si="2"/>
        <v>54230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117050</v>
      </c>
      <c r="D20" s="25">
        <f t="shared" si="2"/>
        <v>117050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40622</v>
      </c>
      <c r="D21" s="25">
        <f t="shared" si="2"/>
        <v>40622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18293</v>
      </c>
      <c r="D22" s="25">
        <f t="shared" si="2"/>
        <v>18293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12198</v>
      </c>
      <c r="D23" s="25">
        <f t="shared" si="2"/>
        <v>12198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145143</v>
      </c>
      <c r="D24" s="25">
        <f t="shared" si="2"/>
        <v>145143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70700</v>
      </c>
      <c r="D25" s="25">
        <f t="shared" si="2"/>
        <v>70700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576960</v>
      </c>
      <c r="D26" s="25">
        <f t="shared" si="2"/>
        <v>576960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574660</v>
      </c>
      <c r="D27" s="25">
        <f t="shared" si="2"/>
        <v>574660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1000</v>
      </c>
      <c r="D28" s="25">
        <f t="shared" si="2"/>
        <v>1000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1300</v>
      </c>
      <c r="D29" s="25">
        <f t="shared" si="2"/>
        <v>1300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95</v>
      </c>
      <c r="D34" s="25">
        <f t="shared" si="2"/>
        <v>95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59</v>
      </c>
      <c r="D36" s="25">
        <f t="shared" si="2"/>
        <v>59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34222</v>
      </c>
      <c r="D37" s="25">
        <f t="shared" ref="D37:D39" si="3">C37</f>
        <v>34222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19445</v>
      </c>
      <c r="D38" s="25">
        <f t="shared" si="3"/>
        <v>19445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93</v>
      </c>
      <c r="D40" s="32">
        <f>C40</f>
        <v>93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139419</v>
      </c>
      <c r="D41" s="32">
        <f>C41</f>
        <v>139419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43460</v>
      </c>
      <c r="D42" s="32">
        <f>C42</f>
        <v>43460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764</v>
      </c>
      <c r="D44" s="32">
        <f>C44</f>
        <v>764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959145</v>
      </c>
      <c r="D45" s="32">
        <f>D11+D13+D14+D26+D32+D42+D44</f>
        <v>959145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38177</v>
      </c>
      <c r="D46" s="23">
        <f>D47+D48+D49+D57+D59+D65+D66+D64</f>
        <v>38177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1723</v>
      </c>
      <c r="D47" s="25">
        <f>C47</f>
        <v>1723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4222</v>
      </c>
      <c r="D48" s="25">
        <f t="shared" ref="D48:D66" si="6">C48</f>
        <v>4222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115</v>
      </c>
      <c r="D49" s="25">
        <f>D50+D52+D53+D54+D55+D56</f>
        <v>115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53</v>
      </c>
      <c r="D50" s="25">
        <f t="shared" si="6"/>
        <v>53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53</v>
      </c>
      <c r="D51" s="25">
        <f t="shared" si="6"/>
        <v>53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41</v>
      </c>
      <c r="D52" s="25">
        <f t="shared" si="6"/>
        <v>41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0</v>
      </c>
      <c r="D55" s="25">
        <f t="shared" si="6"/>
        <v>0</v>
      </c>
      <c r="E55" s="25" t="str">
        <f t="shared" si="0"/>
        <v>-</v>
      </c>
      <c r="F55" s="38" t="str">
        <f t="shared" si="1"/>
        <v>-</v>
      </c>
    </row>
    <row r="56" spans="1:6" ht="24.95" customHeight="1" x14ac:dyDescent="0.2">
      <c r="A56" s="5" t="s">
        <v>43</v>
      </c>
      <c r="B56" s="2" t="s">
        <v>36</v>
      </c>
      <c r="C56" s="25">
        <v>21</v>
      </c>
      <c r="D56" s="25">
        <f t="shared" si="6"/>
        <v>21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22722</v>
      </c>
      <c r="D57" s="25">
        <f t="shared" si="6"/>
        <v>22722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100</v>
      </c>
      <c r="D58" s="25">
        <f t="shared" si="6"/>
        <v>100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5133</v>
      </c>
      <c r="D59" s="25">
        <f>D60+D61+D62+D63</f>
        <v>5133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3905</v>
      </c>
      <c r="D60" s="25">
        <f t="shared" si="6"/>
        <v>3905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558</v>
      </c>
      <c r="D61" s="25">
        <f t="shared" si="6"/>
        <v>558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670</v>
      </c>
      <c r="D63" s="25">
        <f t="shared" si="6"/>
        <v>670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3998</v>
      </c>
      <c r="D65" s="25">
        <f t="shared" si="6"/>
        <v>3998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264</v>
      </c>
      <c r="D66" s="25">
        <f t="shared" si="6"/>
        <v>264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11548</v>
      </c>
      <c r="D67" s="23">
        <f>D68+D69+D70+D71</f>
        <v>11724</v>
      </c>
      <c r="E67" s="23">
        <f t="shared" si="0"/>
        <v>176</v>
      </c>
      <c r="F67" s="38">
        <f t="shared" si="1"/>
        <v>1.0152000000000001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957</v>
      </c>
      <c r="D69" s="25">
        <f>C69+528</f>
        <v>1485</v>
      </c>
      <c r="E69" s="25">
        <f t="shared" si="0"/>
        <v>528</v>
      </c>
      <c r="F69" s="38">
        <f t="shared" si="1"/>
        <v>1.5517000000000001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10591</v>
      </c>
      <c r="D71" s="25">
        <f>C71-9641+9259+30</f>
        <v>10239</v>
      </c>
      <c r="E71" s="25">
        <f t="shared" si="0"/>
        <v>-352</v>
      </c>
      <c r="F71" s="38">
        <f t="shared" si="1"/>
        <v>0.96679999999999999</v>
      </c>
    </row>
    <row r="72" spans="1:6" ht="24.95" customHeight="1" x14ac:dyDescent="0.2">
      <c r="A72" s="36" t="s">
        <v>133</v>
      </c>
      <c r="B72" s="31" t="s">
        <v>112</v>
      </c>
      <c r="C72" s="32">
        <v>1000</v>
      </c>
      <c r="D72" s="32">
        <f>C72</f>
        <v>1000</v>
      </c>
      <c r="E72" s="32" t="str">
        <f t="shared" si="0"/>
        <v>-</v>
      </c>
      <c r="F72" s="38">
        <f t="shared" si="1"/>
        <v>1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70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12146765</v>
      </c>
      <c r="D6" s="23">
        <f>D7+D8+D9+D16+D17+D18+D19+D20+D21+D22+D23+D24+D25+D26+D30+D31+D33+D34+D35+D36+D37+D39</f>
        <v>12154840</v>
      </c>
      <c r="E6" s="23">
        <f>IF(C6=D6,"-",D6-C6)</f>
        <v>8075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1631994</v>
      </c>
      <c r="D7" s="25">
        <f>C7</f>
        <v>1631994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789242</v>
      </c>
      <c r="D8" s="25">
        <f t="shared" ref="D8:D36" si="2">C8</f>
        <v>789242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6445192</v>
      </c>
      <c r="D9" s="25">
        <f>C9+8075</f>
        <v>6453267</v>
      </c>
      <c r="E9" s="25">
        <f t="shared" si="0"/>
        <v>8075</v>
      </c>
      <c r="F9" s="38">
        <f t="shared" si="1"/>
        <v>1.0013000000000001</v>
      </c>
    </row>
    <row r="10" spans="1:6" ht="24.95" customHeight="1" x14ac:dyDescent="0.2">
      <c r="A10" s="26" t="s">
        <v>54</v>
      </c>
      <c r="B10" s="27" t="s">
        <v>189</v>
      </c>
      <c r="C10" s="25">
        <v>572828</v>
      </c>
      <c r="D10" s="25">
        <f t="shared" si="2"/>
        <v>572828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509742</v>
      </c>
      <c r="D11" s="25">
        <f t="shared" si="2"/>
        <v>509742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168688</v>
      </c>
      <c r="D12" s="25">
        <f t="shared" si="2"/>
        <v>168688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71080</v>
      </c>
      <c r="D13" s="25">
        <f t="shared" si="2"/>
        <v>71080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1000</v>
      </c>
      <c r="D14" s="25">
        <f t="shared" si="2"/>
        <v>1000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46414</v>
      </c>
      <c r="D15" s="25">
        <f t="shared" si="2"/>
        <v>46414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399506</v>
      </c>
      <c r="D16" s="25">
        <f t="shared" si="2"/>
        <v>399506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401142</v>
      </c>
      <c r="D17" s="25">
        <f t="shared" si="2"/>
        <v>401142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353047</v>
      </c>
      <c r="D18" s="25">
        <f t="shared" si="2"/>
        <v>353047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107260</v>
      </c>
      <c r="D19" s="25">
        <f t="shared" si="2"/>
        <v>107260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194687</v>
      </c>
      <c r="D20" s="25">
        <f t="shared" si="2"/>
        <v>194687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99472</v>
      </c>
      <c r="D21" s="25">
        <f t="shared" si="2"/>
        <v>99472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36110</v>
      </c>
      <c r="D22" s="25">
        <f t="shared" si="2"/>
        <v>36110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33825</v>
      </c>
      <c r="D23" s="25">
        <f t="shared" si="2"/>
        <v>33825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281771</v>
      </c>
      <c r="D24" s="25">
        <f t="shared" si="2"/>
        <v>281771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173250</v>
      </c>
      <c r="D25" s="25">
        <f t="shared" si="2"/>
        <v>173250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1118336</v>
      </c>
      <c r="D26" s="25">
        <f t="shared" si="2"/>
        <v>1118336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1111034</v>
      </c>
      <c r="D27" s="25">
        <f t="shared" si="2"/>
        <v>1111034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6157</v>
      </c>
      <c r="D28" s="25">
        <f t="shared" si="2"/>
        <v>6157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1145</v>
      </c>
      <c r="D29" s="25">
        <f t="shared" si="2"/>
        <v>1145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34609</v>
      </c>
      <c r="D34" s="25">
        <f t="shared" si="2"/>
        <v>34609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3000</v>
      </c>
      <c r="D36" s="25">
        <f t="shared" si="2"/>
        <v>3000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44322</v>
      </c>
      <c r="D37" s="25">
        <f t="shared" ref="D37:D39" si="3">C37</f>
        <v>44322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27521</v>
      </c>
      <c r="D38" s="25">
        <f t="shared" si="3"/>
        <v>27521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169</v>
      </c>
      <c r="D40" s="32">
        <f>C40</f>
        <v>169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257566</v>
      </c>
      <c r="D41" s="32">
        <f>C41</f>
        <v>257566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98077</v>
      </c>
      <c r="D42" s="32">
        <f>C42</f>
        <v>98077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1188</v>
      </c>
      <c r="D44" s="32">
        <f>C44</f>
        <v>1188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1799423</v>
      </c>
      <c r="D45" s="32">
        <f>D11+D13+D14+D26+D32+D42+D44</f>
        <v>1799423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73685</v>
      </c>
      <c r="D46" s="23">
        <f>D47+D48+D49+D57+D59+D65+D66+D64</f>
        <v>73685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2723</v>
      </c>
      <c r="D47" s="25">
        <f>C47</f>
        <v>2723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10482</v>
      </c>
      <c r="D48" s="25">
        <f t="shared" ref="D48:D66" si="6">C48</f>
        <v>10482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304</v>
      </c>
      <c r="D49" s="25">
        <f>D50+D52+D53+D54+D55+D56</f>
        <v>304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130</v>
      </c>
      <c r="D50" s="25">
        <f t="shared" si="6"/>
        <v>130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130</v>
      </c>
      <c r="D51" s="25">
        <f t="shared" si="6"/>
        <v>130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10</v>
      </c>
      <c r="D52" s="25">
        <f t="shared" si="6"/>
        <v>10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7</v>
      </c>
      <c r="D53" s="25">
        <f t="shared" si="6"/>
        <v>7</v>
      </c>
      <c r="E53" s="25" t="str">
        <f t="shared" si="0"/>
        <v>-</v>
      </c>
      <c r="F53" s="38">
        <f t="shared" si="1"/>
        <v>1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131</v>
      </c>
      <c r="D55" s="25">
        <f t="shared" si="6"/>
        <v>131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26</v>
      </c>
      <c r="D56" s="25">
        <f t="shared" si="6"/>
        <v>26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44509</v>
      </c>
      <c r="D57" s="25">
        <f t="shared" si="6"/>
        <v>44509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168</v>
      </c>
      <c r="D58" s="25">
        <f t="shared" si="6"/>
        <v>168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9943</v>
      </c>
      <c r="D59" s="25">
        <f>D60+D61+D62+D63</f>
        <v>9943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7640</v>
      </c>
      <c r="D60" s="25">
        <f t="shared" si="6"/>
        <v>7640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1091</v>
      </c>
      <c r="D61" s="25">
        <f t="shared" si="6"/>
        <v>1091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1212</v>
      </c>
      <c r="D63" s="25">
        <f t="shared" si="6"/>
        <v>1212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5400</v>
      </c>
      <c r="D65" s="25">
        <f t="shared" si="6"/>
        <v>5400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324</v>
      </c>
      <c r="D66" s="25">
        <f t="shared" si="6"/>
        <v>324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33458</v>
      </c>
      <c r="D67" s="23">
        <f>D68+D69+D70+D71</f>
        <v>39694</v>
      </c>
      <c r="E67" s="23">
        <f t="shared" si="0"/>
        <v>6236</v>
      </c>
      <c r="F67" s="38">
        <f t="shared" si="1"/>
        <v>1.1863999999999999</v>
      </c>
    </row>
    <row r="68" spans="1:6" ht="24.95" customHeight="1" x14ac:dyDescent="0.2">
      <c r="A68" s="5" t="s">
        <v>99</v>
      </c>
      <c r="B68" s="29" t="s">
        <v>212</v>
      </c>
      <c r="C68" s="25">
        <v>250</v>
      </c>
      <c r="D68" s="25">
        <f>C68-205</f>
        <v>45</v>
      </c>
      <c r="E68" s="25">
        <f t="shared" si="0"/>
        <v>-205</v>
      </c>
      <c r="F68" s="38">
        <f t="shared" si="1"/>
        <v>0.18</v>
      </c>
    </row>
    <row r="69" spans="1:6" ht="24.95" customHeight="1" x14ac:dyDescent="0.2">
      <c r="A69" s="5" t="s">
        <v>28</v>
      </c>
      <c r="B69" s="29" t="s">
        <v>53</v>
      </c>
      <c r="C69" s="25">
        <v>726</v>
      </c>
      <c r="D69" s="25">
        <f>C69+4052</f>
        <v>4778</v>
      </c>
      <c r="E69" s="25">
        <f t="shared" si="0"/>
        <v>4052</v>
      </c>
      <c r="F69" s="38">
        <f t="shared" si="1"/>
        <v>6.5812999999999997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32482</v>
      </c>
      <c r="D71" s="25">
        <f>C71-28755+31087+57</f>
        <v>34871</v>
      </c>
      <c r="E71" s="25">
        <f t="shared" si="0"/>
        <v>2389</v>
      </c>
      <c r="F71" s="38">
        <f t="shared" si="1"/>
        <v>1.0734999999999999</v>
      </c>
    </row>
    <row r="72" spans="1:6" ht="24.95" customHeight="1" x14ac:dyDescent="0.2">
      <c r="A72" s="36" t="s">
        <v>133</v>
      </c>
      <c r="B72" s="31" t="s">
        <v>112</v>
      </c>
      <c r="C72" s="32">
        <v>460</v>
      </c>
      <c r="D72" s="32">
        <f>C72+555</f>
        <v>1015</v>
      </c>
      <c r="E72" s="32">
        <f t="shared" si="0"/>
        <v>555</v>
      </c>
      <c r="F72" s="38">
        <f t="shared" si="1"/>
        <v>2.2065000000000001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6">
    <pageSetUpPr fitToPage="1"/>
  </sheetPr>
  <dimension ref="A1:U74"/>
  <sheetViews>
    <sheetView showGridLines="0" view="pageBreakPreview" zoomScale="80" zoomScaleNormal="70" zoomScaleSheetLayoutView="80" workbookViewId="0">
      <pane ySplit="6" topLeftCell="A7" activePane="bottomLeft" state="frozen"/>
      <selection activeCell="J27" sqref="J27"/>
      <selection pane="bottomLef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71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3451703</v>
      </c>
      <c r="D6" s="23">
        <f>D7+D8+D9+D16+D17+D18+D19+D20+D21+D22+D23+D24+D25+D26+D30+D31+D33+D34+D35+D36+D37+D39</f>
        <v>3453932</v>
      </c>
      <c r="E6" s="23">
        <f>IF(C6=D6,"-",D6-C6)</f>
        <v>2229</v>
      </c>
      <c r="F6" s="38">
        <f>IF(C6=0,"-",D6/C6)</f>
        <v>1.0005999999999999</v>
      </c>
    </row>
    <row r="7" spans="1:6" ht="24.95" customHeight="1" x14ac:dyDescent="0.2">
      <c r="A7" s="4" t="s">
        <v>1</v>
      </c>
      <c r="B7" s="24" t="s">
        <v>115</v>
      </c>
      <c r="C7" s="25">
        <v>430251</v>
      </c>
      <c r="D7" s="25">
        <f>C7</f>
        <v>430251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186961</v>
      </c>
      <c r="D8" s="25">
        <f t="shared" ref="D8:D36" si="2">C8</f>
        <v>186961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1939070</v>
      </c>
      <c r="D9" s="25">
        <f>C9+2229</f>
        <v>1941299</v>
      </c>
      <c r="E9" s="25">
        <f t="shared" si="0"/>
        <v>2229</v>
      </c>
      <c r="F9" s="38">
        <f t="shared" si="1"/>
        <v>1.0011000000000001</v>
      </c>
    </row>
    <row r="10" spans="1:6" ht="24.95" customHeight="1" x14ac:dyDescent="0.2">
      <c r="A10" s="26" t="s">
        <v>54</v>
      </c>
      <c r="B10" s="27" t="s">
        <v>189</v>
      </c>
      <c r="C10" s="25">
        <v>145543</v>
      </c>
      <c r="D10" s="25">
        <f t="shared" si="2"/>
        <v>145543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129774</v>
      </c>
      <c r="D11" s="25">
        <f t="shared" si="2"/>
        <v>129774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58305</v>
      </c>
      <c r="D12" s="25">
        <f t="shared" si="2"/>
        <v>58305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25844</v>
      </c>
      <c r="D13" s="25">
        <f t="shared" si="2"/>
        <v>25844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700</v>
      </c>
      <c r="D14" s="25">
        <f t="shared" si="2"/>
        <v>700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0</v>
      </c>
      <c r="D15" s="25">
        <f t="shared" si="2"/>
        <v>0</v>
      </c>
      <c r="E15" s="25" t="str">
        <f t="shared" si="0"/>
        <v>-</v>
      </c>
      <c r="F15" s="38" t="str">
        <f t="shared" si="1"/>
        <v>-</v>
      </c>
    </row>
    <row r="16" spans="1:6" ht="24.95" customHeight="1" x14ac:dyDescent="0.2">
      <c r="A16" s="4" t="s">
        <v>4</v>
      </c>
      <c r="B16" s="24" t="s">
        <v>121</v>
      </c>
      <c r="C16" s="25">
        <v>106712</v>
      </c>
      <c r="D16" s="25">
        <f t="shared" si="2"/>
        <v>106712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113795</v>
      </c>
      <c r="D17" s="25">
        <f t="shared" si="2"/>
        <v>113795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76766</v>
      </c>
      <c r="D18" s="25">
        <f t="shared" si="2"/>
        <v>76766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34590</v>
      </c>
      <c r="D19" s="25">
        <f t="shared" si="2"/>
        <v>34590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66336</v>
      </c>
      <c r="D20" s="25">
        <f t="shared" si="2"/>
        <v>66336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33653</v>
      </c>
      <c r="D21" s="25">
        <f t="shared" si="2"/>
        <v>33653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8229</v>
      </c>
      <c r="D22" s="25">
        <f t="shared" si="2"/>
        <v>8229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6994</v>
      </c>
      <c r="D23" s="25">
        <f t="shared" si="2"/>
        <v>6994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72481</v>
      </c>
      <c r="D24" s="25">
        <f t="shared" si="2"/>
        <v>72481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41000</v>
      </c>
      <c r="D25" s="25">
        <f t="shared" si="2"/>
        <v>41000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282118</v>
      </c>
      <c r="D26" s="25">
        <f t="shared" si="2"/>
        <v>282118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281228</v>
      </c>
      <c r="D27" s="25">
        <f t="shared" si="2"/>
        <v>281228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590</v>
      </c>
      <c r="D28" s="25">
        <f t="shared" si="2"/>
        <v>590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300</v>
      </c>
      <c r="D29" s="25">
        <f t="shared" si="2"/>
        <v>300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32773</v>
      </c>
      <c r="D34" s="25">
        <f t="shared" si="2"/>
        <v>32773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529</v>
      </c>
      <c r="D36" s="25">
        <f t="shared" si="2"/>
        <v>529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19445</v>
      </c>
      <c r="D37" s="25">
        <f t="shared" ref="D37:D39" si="3">C37</f>
        <v>19445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11620</v>
      </c>
      <c r="D38" s="25">
        <f t="shared" si="3"/>
        <v>11620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449</v>
      </c>
      <c r="D40" s="32">
        <f>C40</f>
        <v>449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74899</v>
      </c>
      <c r="D41" s="32">
        <f>C41</f>
        <v>74899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26455</v>
      </c>
      <c r="D42" s="32">
        <f>C42</f>
        <v>26455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300</v>
      </c>
      <c r="D44" s="32">
        <f>C44</f>
        <v>300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465191</v>
      </c>
      <c r="D45" s="32">
        <f>D11+D13+D14+D26+D32+D42+D44</f>
        <v>465191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21200</v>
      </c>
      <c r="D46" s="23">
        <f>D47+D48+D49+D57+D59+D65+D66+D64</f>
        <v>21200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666</v>
      </c>
      <c r="D47" s="25">
        <f>C47</f>
        <v>666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2568</v>
      </c>
      <c r="D48" s="25">
        <f t="shared" ref="D48:D66" si="6">C48</f>
        <v>2568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52</v>
      </c>
      <c r="D49" s="25">
        <f>D50+D52+D53+D54+D55+D56</f>
        <v>52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7</v>
      </c>
      <c r="D50" s="25">
        <f t="shared" si="6"/>
        <v>7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7</v>
      </c>
      <c r="D51" s="25">
        <f t="shared" si="6"/>
        <v>7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17</v>
      </c>
      <c r="D52" s="25">
        <f t="shared" si="6"/>
        <v>17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0</v>
      </c>
      <c r="D55" s="25">
        <f t="shared" si="6"/>
        <v>0</v>
      </c>
      <c r="E55" s="25" t="str">
        <f t="shared" si="0"/>
        <v>-</v>
      </c>
      <c r="F55" s="38" t="str">
        <f t="shared" si="1"/>
        <v>-</v>
      </c>
    </row>
    <row r="56" spans="1:6" ht="24.95" customHeight="1" x14ac:dyDescent="0.2">
      <c r="A56" s="5" t="s">
        <v>43</v>
      </c>
      <c r="B56" s="2" t="s">
        <v>36</v>
      </c>
      <c r="C56" s="25">
        <v>28</v>
      </c>
      <c r="D56" s="25">
        <f t="shared" si="6"/>
        <v>28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12630</v>
      </c>
      <c r="D57" s="25">
        <f t="shared" si="6"/>
        <v>12630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40</v>
      </c>
      <c r="D58" s="25">
        <f t="shared" si="6"/>
        <v>40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2833</v>
      </c>
      <c r="D59" s="25">
        <f>D60+D61+D62+D63</f>
        <v>2833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2173</v>
      </c>
      <c r="D60" s="25">
        <f t="shared" si="6"/>
        <v>2173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311</v>
      </c>
      <c r="D61" s="25">
        <f t="shared" si="6"/>
        <v>311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349</v>
      </c>
      <c r="D63" s="25">
        <f t="shared" si="6"/>
        <v>349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2257</v>
      </c>
      <c r="D65" s="25">
        <f t="shared" si="6"/>
        <v>2257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194</v>
      </c>
      <c r="D66" s="25">
        <f t="shared" si="6"/>
        <v>194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36086</v>
      </c>
      <c r="D67" s="23">
        <f>D68+D69+D70+D71</f>
        <v>20907</v>
      </c>
      <c r="E67" s="23">
        <f t="shared" si="0"/>
        <v>-15179</v>
      </c>
      <c r="F67" s="38">
        <f t="shared" si="1"/>
        <v>0.57940000000000003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22078</v>
      </c>
      <c r="D69" s="25">
        <f>C69-20674</f>
        <v>1404</v>
      </c>
      <c r="E69" s="25">
        <f t="shared" si="0"/>
        <v>-20674</v>
      </c>
      <c r="F69" s="38">
        <f t="shared" si="1"/>
        <v>6.3600000000000004E-2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14008</v>
      </c>
      <c r="D71" s="25">
        <f>C71-8008+13487+16</f>
        <v>19503</v>
      </c>
      <c r="E71" s="25">
        <f t="shared" si="0"/>
        <v>5495</v>
      </c>
      <c r="F71" s="38">
        <f t="shared" si="1"/>
        <v>1.3923000000000001</v>
      </c>
    </row>
    <row r="72" spans="1:6" ht="24.95" customHeight="1" x14ac:dyDescent="0.2">
      <c r="A72" s="36" t="s">
        <v>133</v>
      </c>
      <c r="B72" s="31" t="s">
        <v>112</v>
      </c>
      <c r="C72" s="32">
        <v>1712</v>
      </c>
      <c r="D72" s="32">
        <f>C72-1492</f>
        <v>220</v>
      </c>
      <c r="E72" s="32">
        <f t="shared" si="0"/>
        <v>-1492</v>
      </c>
      <c r="F72" s="38">
        <f t="shared" si="1"/>
        <v>0.1285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7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72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3495410</v>
      </c>
      <c r="D6" s="23">
        <f>D7+D8+D9+D16+D17+D18+D19+D20+D21+D22+D23+D24+D25+D26+D30+D31+D33+D34+D35+D36+D37+D39</f>
        <v>3497748</v>
      </c>
      <c r="E6" s="23">
        <f>IF(C6=D6,"-",D6-C6)</f>
        <v>2338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483441</v>
      </c>
      <c r="D7" s="25">
        <f>C7</f>
        <v>483441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207337</v>
      </c>
      <c r="D8" s="25">
        <f t="shared" ref="D8:D36" si="2">C8</f>
        <v>207337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1892743</v>
      </c>
      <c r="D9" s="25">
        <f>C9+2338</f>
        <v>1895081</v>
      </c>
      <c r="E9" s="25">
        <f t="shared" si="0"/>
        <v>2338</v>
      </c>
      <c r="F9" s="38">
        <f t="shared" si="1"/>
        <v>1.0012000000000001</v>
      </c>
    </row>
    <row r="10" spans="1:6" ht="24.95" customHeight="1" x14ac:dyDescent="0.2">
      <c r="A10" s="26" t="s">
        <v>54</v>
      </c>
      <c r="B10" s="27" t="s">
        <v>189</v>
      </c>
      <c r="C10" s="25">
        <v>154749</v>
      </c>
      <c r="D10" s="25">
        <f t="shared" si="2"/>
        <v>154749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139444</v>
      </c>
      <c r="D11" s="25">
        <f t="shared" si="2"/>
        <v>139444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53507</v>
      </c>
      <c r="D12" s="25">
        <f t="shared" si="2"/>
        <v>53507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24670</v>
      </c>
      <c r="D13" s="25">
        <f t="shared" si="2"/>
        <v>24670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0</v>
      </c>
      <c r="D14" s="25">
        <f t="shared" si="2"/>
        <v>0</v>
      </c>
      <c r="E14" s="25" t="str">
        <f t="shared" si="0"/>
        <v>-</v>
      </c>
      <c r="F14" s="38" t="str">
        <f t="shared" si="1"/>
        <v>-</v>
      </c>
    </row>
    <row r="15" spans="1:6" ht="24.95" customHeight="1" x14ac:dyDescent="0.2">
      <c r="A15" s="26" t="s">
        <v>202</v>
      </c>
      <c r="B15" s="27" t="s">
        <v>201</v>
      </c>
      <c r="C15" s="25">
        <v>0</v>
      </c>
      <c r="D15" s="25">
        <f t="shared" si="2"/>
        <v>0</v>
      </c>
      <c r="E15" s="25" t="str">
        <f t="shared" si="0"/>
        <v>-</v>
      </c>
      <c r="F15" s="38" t="str">
        <f t="shared" si="1"/>
        <v>-</v>
      </c>
    </row>
    <row r="16" spans="1:6" ht="24.95" customHeight="1" x14ac:dyDescent="0.2">
      <c r="A16" s="4" t="s">
        <v>4</v>
      </c>
      <c r="B16" s="24" t="s">
        <v>121</v>
      </c>
      <c r="C16" s="25">
        <v>120149</v>
      </c>
      <c r="D16" s="25">
        <f t="shared" si="2"/>
        <v>120149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103322</v>
      </c>
      <c r="D17" s="25">
        <f t="shared" si="2"/>
        <v>103322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60621</v>
      </c>
      <c r="D18" s="25">
        <f t="shared" si="2"/>
        <v>60621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26695</v>
      </c>
      <c r="D19" s="25">
        <f t="shared" si="2"/>
        <v>26695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82762</v>
      </c>
      <c r="D20" s="25">
        <f t="shared" si="2"/>
        <v>82762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25815</v>
      </c>
      <c r="D21" s="25">
        <f t="shared" si="2"/>
        <v>25815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12395</v>
      </c>
      <c r="D22" s="25">
        <f t="shared" si="2"/>
        <v>12395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6905</v>
      </c>
      <c r="D23" s="25">
        <f t="shared" si="2"/>
        <v>6905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72270</v>
      </c>
      <c r="D24" s="25">
        <f t="shared" si="2"/>
        <v>72270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46777</v>
      </c>
      <c r="D25" s="25">
        <f t="shared" si="2"/>
        <v>46777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302680</v>
      </c>
      <c r="D26" s="25">
        <f t="shared" si="2"/>
        <v>302680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301110</v>
      </c>
      <c r="D27" s="25">
        <f t="shared" si="2"/>
        <v>301110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1020</v>
      </c>
      <c r="D28" s="25">
        <f t="shared" si="2"/>
        <v>1020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550</v>
      </c>
      <c r="D29" s="25">
        <f t="shared" si="2"/>
        <v>550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30257</v>
      </c>
      <c r="D34" s="25">
        <f t="shared" si="2"/>
        <v>30257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500</v>
      </c>
      <c r="D36" s="25">
        <f t="shared" si="2"/>
        <v>500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20741</v>
      </c>
      <c r="D37" s="25">
        <f t="shared" ref="D37:D39" si="3">C37</f>
        <v>20741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13818</v>
      </c>
      <c r="D38" s="25">
        <f t="shared" si="3"/>
        <v>13818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0</v>
      </c>
      <c r="D40" s="32">
        <f>C40</f>
        <v>0</v>
      </c>
      <c r="E40" s="25" t="str">
        <f t="shared" si="4"/>
        <v>-</v>
      </c>
      <c r="F40" s="38" t="str">
        <f t="shared" si="5"/>
        <v>-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122810</v>
      </c>
      <c r="D41" s="32">
        <f>C41</f>
        <v>122810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26682</v>
      </c>
      <c r="D42" s="32">
        <f>C42</f>
        <v>26682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379</v>
      </c>
      <c r="D44" s="32">
        <f>C44</f>
        <v>379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493855</v>
      </c>
      <c r="D45" s="32">
        <f>D11+D13+D14+D26+D32+D42+D44</f>
        <v>493855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23670</v>
      </c>
      <c r="D46" s="23">
        <f>D47+D48+D49+D57+D59+D65+D66+D64</f>
        <v>23670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922</v>
      </c>
      <c r="D47" s="25">
        <f>C47</f>
        <v>922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3483</v>
      </c>
      <c r="D48" s="25">
        <f t="shared" ref="D48:D66" si="6">C48</f>
        <v>3483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145</v>
      </c>
      <c r="D49" s="25">
        <f>D50+D52+D53+D54+D55+D56</f>
        <v>145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33</v>
      </c>
      <c r="D50" s="25">
        <f t="shared" si="6"/>
        <v>33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30</v>
      </c>
      <c r="D51" s="25">
        <f t="shared" si="6"/>
        <v>30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13</v>
      </c>
      <c r="D52" s="25">
        <f t="shared" si="6"/>
        <v>13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96</v>
      </c>
      <c r="D55" s="25">
        <f t="shared" si="6"/>
        <v>96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3</v>
      </c>
      <c r="D56" s="25">
        <f t="shared" si="6"/>
        <v>3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13716</v>
      </c>
      <c r="D57" s="25">
        <f t="shared" si="6"/>
        <v>13716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0</v>
      </c>
      <c r="D58" s="25">
        <f t="shared" si="6"/>
        <v>0</v>
      </c>
      <c r="E58" s="25" t="str">
        <f t="shared" si="0"/>
        <v>-</v>
      </c>
      <c r="F58" s="38" t="str">
        <f t="shared" si="1"/>
        <v>-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3063</v>
      </c>
      <c r="D59" s="25">
        <f>D60+D61+D62+D63</f>
        <v>3063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2357</v>
      </c>
      <c r="D60" s="25">
        <f t="shared" si="6"/>
        <v>2357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338</v>
      </c>
      <c r="D61" s="25">
        <f t="shared" si="6"/>
        <v>338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368</v>
      </c>
      <c r="D63" s="25">
        <f t="shared" si="6"/>
        <v>368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2162</v>
      </c>
      <c r="D65" s="25">
        <f t="shared" si="6"/>
        <v>2162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179</v>
      </c>
      <c r="D66" s="25">
        <f t="shared" si="6"/>
        <v>179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9375</v>
      </c>
      <c r="D67" s="23">
        <f>D68+D69+D70+D71</f>
        <v>9251</v>
      </c>
      <c r="E67" s="23">
        <f t="shared" si="0"/>
        <v>-124</v>
      </c>
      <c r="F67" s="38">
        <f t="shared" si="1"/>
        <v>0.98680000000000001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0</v>
      </c>
      <c r="D69" s="25">
        <f>C69+1</f>
        <v>1</v>
      </c>
      <c r="E69" s="25">
        <f t="shared" si="0"/>
        <v>1</v>
      </c>
      <c r="F69" s="38" t="str">
        <f t="shared" si="1"/>
        <v>-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9375</v>
      </c>
      <c r="D71" s="25">
        <f>C71-8675+8528+22</f>
        <v>9250</v>
      </c>
      <c r="E71" s="25">
        <f t="shared" si="0"/>
        <v>-125</v>
      </c>
      <c r="F71" s="38">
        <f t="shared" si="1"/>
        <v>0.98670000000000002</v>
      </c>
    </row>
    <row r="72" spans="1:6" ht="24.95" customHeight="1" x14ac:dyDescent="0.2">
      <c r="A72" s="36" t="s">
        <v>133</v>
      </c>
      <c r="B72" s="31" t="s">
        <v>112</v>
      </c>
      <c r="C72" s="32">
        <v>45</v>
      </c>
      <c r="D72" s="32">
        <f>C72+75</f>
        <v>120</v>
      </c>
      <c r="E72" s="32">
        <f t="shared" si="0"/>
        <v>75</v>
      </c>
      <c r="F72" s="38">
        <f t="shared" si="1"/>
        <v>2.6667000000000001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8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73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8971145</v>
      </c>
      <c r="D6" s="23">
        <f>D7+D8+D9+D16+D17+D18+D19+D20+D21+D22+D23+D24+D25+D26+D30+D31+D33+D34+D35+D36+D37+D39</f>
        <v>8977211</v>
      </c>
      <c r="E6" s="23">
        <f>IF(C6=D6,"-",D6-C6)</f>
        <v>6066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1274169</v>
      </c>
      <c r="D7" s="25">
        <f>C7</f>
        <v>1274169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554623</v>
      </c>
      <c r="D8" s="25">
        <f t="shared" ref="D8:D36" si="2">C8</f>
        <v>554623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4838962</v>
      </c>
      <c r="D9" s="25">
        <f>C9+6066</f>
        <v>4845028</v>
      </c>
      <c r="E9" s="25">
        <f t="shared" si="0"/>
        <v>6066</v>
      </c>
      <c r="F9" s="38">
        <f t="shared" si="1"/>
        <v>1.0013000000000001</v>
      </c>
    </row>
    <row r="10" spans="1:6" ht="24.95" customHeight="1" x14ac:dyDescent="0.2">
      <c r="A10" s="26" t="s">
        <v>54</v>
      </c>
      <c r="B10" s="27" t="s">
        <v>189</v>
      </c>
      <c r="C10" s="25">
        <v>457706</v>
      </c>
      <c r="D10" s="25">
        <f t="shared" si="2"/>
        <v>457706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413299</v>
      </c>
      <c r="D11" s="25">
        <f t="shared" si="2"/>
        <v>413299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142131</v>
      </c>
      <c r="D12" s="25">
        <f t="shared" si="2"/>
        <v>142131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68259</v>
      </c>
      <c r="D13" s="25">
        <f t="shared" si="2"/>
        <v>68259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1000</v>
      </c>
      <c r="D14" s="25">
        <f t="shared" si="2"/>
        <v>1000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7095</v>
      </c>
      <c r="D15" s="25">
        <f t="shared" si="2"/>
        <v>7095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294669</v>
      </c>
      <c r="D16" s="25">
        <f t="shared" si="2"/>
        <v>294669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245169</v>
      </c>
      <c r="D17" s="25">
        <f t="shared" si="2"/>
        <v>245169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118473</v>
      </c>
      <c r="D18" s="25">
        <f t="shared" si="2"/>
        <v>118473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78059</v>
      </c>
      <c r="D19" s="25">
        <f t="shared" si="2"/>
        <v>78059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162415</v>
      </c>
      <c r="D20" s="25">
        <f t="shared" si="2"/>
        <v>162415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80000</v>
      </c>
      <c r="D21" s="25">
        <f t="shared" si="2"/>
        <v>80000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22823</v>
      </c>
      <c r="D22" s="25">
        <f t="shared" si="2"/>
        <v>22823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22267</v>
      </c>
      <c r="D23" s="25">
        <f t="shared" si="2"/>
        <v>22267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225241</v>
      </c>
      <c r="D24" s="25">
        <f t="shared" si="2"/>
        <v>225241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120995</v>
      </c>
      <c r="D25" s="25">
        <f t="shared" si="2"/>
        <v>120995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851700</v>
      </c>
      <c r="D26" s="25">
        <f t="shared" si="2"/>
        <v>851700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847700</v>
      </c>
      <c r="D27" s="25">
        <f t="shared" si="2"/>
        <v>847700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2000</v>
      </c>
      <c r="D28" s="25">
        <f t="shared" si="2"/>
        <v>2000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2000</v>
      </c>
      <c r="D29" s="25">
        <f t="shared" si="2"/>
        <v>2000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52178</v>
      </c>
      <c r="D34" s="25">
        <f t="shared" si="2"/>
        <v>52178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5000</v>
      </c>
      <c r="D36" s="25">
        <f t="shared" si="2"/>
        <v>5000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24402</v>
      </c>
      <c r="D37" s="25">
        <f t="shared" ref="D37:D39" si="3">C37</f>
        <v>24402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5450</v>
      </c>
      <c r="D38" s="25">
        <f t="shared" si="3"/>
        <v>5450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134</v>
      </c>
      <c r="D40" s="32">
        <f>C40</f>
        <v>134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192967</v>
      </c>
      <c r="D41" s="32">
        <f>C41</f>
        <v>192967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60000</v>
      </c>
      <c r="D42" s="32">
        <f>C42</f>
        <v>60000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1099</v>
      </c>
      <c r="D44" s="32">
        <f>C44</f>
        <v>1099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1395357</v>
      </c>
      <c r="D45" s="32">
        <f>D11+D13+D14+D26+D32+D42+D44</f>
        <v>1395357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50421</v>
      </c>
      <c r="D46" s="23">
        <f>D47+D48+D49+D57+D59+D65+D66+D64</f>
        <v>50421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2698</v>
      </c>
      <c r="D47" s="25">
        <f>C47</f>
        <v>2698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9509</v>
      </c>
      <c r="D48" s="25">
        <f t="shared" ref="D48:D66" si="6">C48</f>
        <v>9509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371</v>
      </c>
      <c r="D49" s="25">
        <f>D50+D52+D53+D54+D55+D56</f>
        <v>371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55</v>
      </c>
      <c r="D50" s="25">
        <f t="shared" si="6"/>
        <v>55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55</v>
      </c>
      <c r="D51" s="25">
        <f t="shared" si="6"/>
        <v>55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258</v>
      </c>
      <c r="D52" s="25">
        <f t="shared" si="6"/>
        <v>258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52</v>
      </c>
      <c r="D55" s="25">
        <f t="shared" si="6"/>
        <v>52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6</v>
      </c>
      <c r="D56" s="25">
        <f t="shared" si="6"/>
        <v>6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26540</v>
      </c>
      <c r="D57" s="25">
        <f t="shared" si="6"/>
        <v>26540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123</v>
      </c>
      <c r="D58" s="25">
        <f t="shared" si="6"/>
        <v>123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5931</v>
      </c>
      <c r="D59" s="25">
        <f>D60+D61+D62+D63</f>
        <v>5931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4561</v>
      </c>
      <c r="D60" s="25">
        <f t="shared" si="6"/>
        <v>4561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650</v>
      </c>
      <c r="D61" s="25">
        <f t="shared" si="6"/>
        <v>650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720</v>
      </c>
      <c r="D63" s="25">
        <f t="shared" si="6"/>
        <v>720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4974</v>
      </c>
      <c r="D65" s="25">
        <f t="shared" si="6"/>
        <v>4974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398</v>
      </c>
      <c r="D66" s="25">
        <f t="shared" si="6"/>
        <v>398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132590</v>
      </c>
      <c r="D67" s="23">
        <f>D68+D69+D70+D71</f>
        <v>120508</v>
      </c>
      <c r="E67" s="23">
        <f t="shared" si="0"/>
        <v>-12082</v>
      </c>
      <c r="F67" s="38">
        <f t="shared" si="1"/>
        <v>0.90890000000000004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13300</v>
      </c>
      <c r="D69" s="25">
        <f>C69-12482</f>
        <v>818</v>
      </c>
      <c r="E69" s="25">
        <f t="shared" si="0"/>
        <v>-12482</v>
      </c>
      <c r="F69" s="38">
        <f t="shared" si="1"/>
        <v>6.1499999999999999E-2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119290</v>
      </c>
      <c r="D71" s="25">
        <f>C71-117890+118239+51</f>
        <v>119690</v>
      </c>
      <c r="E71" s="25">
        <f t="shared" si="0"/>
        <v>400</v>
      </c>
      <c r="F71" s="38">
        <f t="shared" si="1"/>
        <v>1.0034000000000001</v>
      </c>
    </row>
    <row r="72" spans="1:6" ht="24.95" customHeight="1" x14ac:dyDescent="0.2">
      <c r="A72" s="36" t="s">
        <v>133</v>
      </c>
      <c r="B72" s="31" t="s">
        <v>112</v>
      </c>
      <c r="C72" s="32">
        <v>950</v>
      </c>
      <c r="D72" s="32">
        <f>C72</f>
        <v>950</v>
      </c>
      <c r="E72" s="32" t="str">
        <f t="shared" si="0"/>
        <v>-</v>
      </c>
      <c r="F72" s="38">
        <f t="shared" si="1"/>
        <v>1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3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>
    <pageSetUpPr fitToPage="1"/>
  </sheetPr>
  <dimension ref="A1:U74"/>
  <sheetViews>
    <sheetView showGridLines="0" view="pageBreakPreview" zoomScale="80" zoomScaleNormal="70" zoomScaleSheetLayoutView="80" workbookViewId="0">
      <pane xSplit="2" ySplit="6" topLeftCell="C7" activePane="bottomRight" state="frozen"/>
      <selection activeCell="J27" sqref="J27"/>
      <selection pane="topRight" activeCell="J27" sqref="J27"/>
      <selection pane="bottomLeft" activeCell="J27" sqref="J27"/>
      <selection pane="bottomRight" activeCell="J27" sqref="J27"/>
    </sheetView>
  </sheetViews>
  <sheetFormatPr defaultRowHeight="18.75" x14ac:dyDescent="0.2"/>
  <cols>
    <col min="1" max="1" width="10.7109375" style="14" customWidth="1"/>
    <col min="2" max="2" width="150.7109375" style="14" customWidth="1"/>
    <col min="3" max="6" width="15.7109375" style="14" customWidth="1"/>
    <col min="7" max="16384" width="9.140625" style="14"/>
  </cols>
  <sheetData>
    <row r="1" spans="1:6" s="7" customFormat="1" ht="35.1" customHeight="1" x14ac:dyDescent="0.2">
      <c r="A1" s="89" t="s">
        <v>216</v>
      </c>
      <c r="B1" s="89"/>
      <c r="C1" s="89"/>
    </row>
    <row r="2" spans="1:6" s="10" customFormat="1" ht="35.1" customHeight="1" x14ac:dyDescent="0.2">
      <c r="A2" s="8" t="s">
        <v>74</v>
      </c>
      <c r="B2" s="8"/>
      <c r="C2" s="9"/>
    </row>
    <row r="3" spans="1:6" x14ac:dyDescent="0.2">
      <c r="A3" s="11"/>
      <c r="B3" s="12"/>
      <c r="C3" s="13"/>
      <c r="E3" s="14" t="s">
        <v>137</v>
      </c>
    </row>
    <row r="4" spans="1:6" s="18" customFormat="1" ht="39.950000000000003" customHeight="1" x14ac:dyDescent="0.2">
      <c r="A4" s="15" t="s">
        <v>114</v>
      </c>
      <c r="B4" s="16" t="s">
        <v>52</v>
      </c>
      <c r="C4" s="17" t="s">
        <v>193</v>
      </c>
      <c r="D4" s="17" t="s">
        <v>165</v>
      </c>
      <c r="E4" s="17" t="s">
        <v>166</v>
      </c>
      <c r="F4" s="17" t="s">
        <v>167</v>
      </c>
    </row>
    <row r="5" spans="1:6" s="18" customFormat="1" x14ac:dyDescent="0.2">
      <c r="A5" s="19">
        <v>1</v>
      </c>
      <c r="B5" s="20">
        <v>2</v>
      </c>
      <c r="C5" s="19">
        <v>3</v>
      </c>
      <c r="D5" s="19">
        <v>4</v>
      </c>
      <c r="E5" s="19">
        <v>5</v>
      </c>
      <c r="F5" s="19">
        <v>6</v>
      </c>
    </row>
    <row r="6" spans="1:6" ht="24.95" customHeight="1" x14ac:dyDescent="0.2">
      <c r="A6" s="21" t="s">
        <v>0</v>
      </c>
      <c r="B6" s="22" t="s">
        <v>211</v>
      </c>
      <c r="C6" s="23">
        <f>C7+C8+C9+C16+C17+C18+C19+C20+C21+C22+C23+C24+C25+C26+C30+C31+C33+C34+C35+C36+C37+C39</f>
        <v>4334213</v>
      </c>
      <c r="D6" s="23">
        <f>D7+D8+D9+D16+D17+D18+D19+D20+D21+D22+D23+D24+D25+D26+D30+D31+D33+D34+D35+D36+D37+D39</f>
        <v>4337115</v>
      </c>
      <c r="E6" s="23">
        <f>IF(C6=D6,"-",D6-C6)</f>
        <v>2902</v>
      </c>
      <c r="F6" s="38">
        <f>IF(C6=0,"-",D6/C6)</f>
        <v>1.0006999999999999</v>
      </c>
    </row>
    <row r="7" spans="1:6" ht="24.95" customHeight="1" x14ac:dyDescent="0.2">
      <c r="A7" s="4" t="s">
        <v>1</v>
      </c>
      <c r="B7" s="24" t="s">
        <v>115</v>
      </c>
      <c r="C7" s="25">
        <v>600167</v>
      </c>
      <c r="D7" s="25">
        <f>C7</f>
        <v>600167</v>
      </c>
      <c r="E7" s="25" t="str">
        <f t="shared" ref="E7:E72" si="0">IF(C7=D7,"-",D7-C7)</f>
        <v>-</v>
      </c>
      <c r="F7" s="38">
        <f t="shared" ref="F7:F72" si="1">IF(C7=0,"-",D7/C7)</f>
        <v>1</v>
      </c>
    </row>
    <row r="8" spans="1:6" ht="24.95" customHeight="1" x14ac:dyDescent="0.2">
      <c r="A8" s="4" t="s">
        <v>2</v>
      </c>
      <c r="B8" s="24" t="s">
        <v>116</v>
      </c>
      <c r="C8" s="25">
        <v>261037</v>
      </c>
      <c r="D8" s="25">
        <f t="shared" ref="D8:D36" si="2">C8</f>
        <v>261037</v>
      </c>
      <c r="E8" s="25" t="str">
        <f t="shared" si="0"/>
        <v>-</v>
      </c>
      <c r="F8" s="38">
        <f t="shared" si="1"/>
        <v>1</v>
      </c>
    </row>
    <row r="9" spans="1:6" ht="24.95" customHeight="1" x14ac:dyDescent="0.2">
      <c r="A9" s="4" t="s">
        <v>3</v>
      </c>
      <c r="B9" s="24" t="s">
        <v>113</v>
      </c>
      <c r="C9" s="25">
        <v>2317341</v>
      </c>
      <c r="D9" s="25">
        <f>C9+2902</f>
        <v>2320243</v>
      </c>
      <c r="E9" s="25">
        <f t="shared" si="0"/>
        <v>2902</v>
      </c>
      <c r="F9" s="38">
        <f t="shared" si="1"/>
        <v>1.0013000000000001</v>
      </c>
    </row>
    <row r="10" spans="1:6" ht="24.95" customHeight="1" x14ac:dyDescent="0.2">
      <c r="A10" s="26" t="s">
        <v>54</v>
      </c>
      <c r="B10" s="27" t="s">
        <v>189</v>
      </c>
      <c r="C10" s="25">
        <v>188822</v>
      </c>
      <c r="D10" s="25">
        <f t="shared" si="2"/>
        <v>188822</v>
      </c>
      <c r="E10" s="25" t="str">
        <f t="shared" si="0"/>
        <v>-</v>
      </c>
      <c r="F10" s="38">
        <f t="shared" si="1"/>
        <v>1</v>
      </c>
    </row>
    <row r="11" spans="1:6" ht="24.95" customHeight="1" x14ac:dyDescent="0.2">
      <c r="A11" s="26" t="s">
        <v>138</v>
      </c>
      <c r="B11" s="27" t="s">
        <v>141</v>
      </c>
      <c r="C11" s="25">
        <v>170243</v>
      </c>
      <c r="D11" s="25">
        <f t="shared" si="2"/>
        <v>170243</v>
      </c>
      <c r="E11" s="25" t="str">
        <f t="shared" si="0"/>
        <v>-</v>
      </c>
      <c r="F11" s="38">
        <f t="shared" si="1"/>
        <v>1</v>
      </c>
    </row>
    <row r="12" spans="1:6" ht="24.95" customHeight="1" x14ac:dyDescent="0.2">
      <c r="A12" s="26" t="s">
        <v>139</v>
      </c>
      <c r="B12" s="27" t="s">
        <v>142</v>
      </c>
      <c r="C12" s="25">
        <v>64894</v>
      </c>
      <c r="D12" s="25">
        <f t="shared" si="2"/>
        <v>64894</v>
      </c>
      <c r="E12" s="25" t="str">
        <f t="shared" si="0"/>
        <v>-</v>
      </c>
      <c r="F12" s="38">
        <f t="shared" si="1"/>
        <v>1</v>
      </c>
    </row>
    <row r="13" spans="1:6" ht="24.95" customHeight="1" x14ac:dyDescent="0.2">
      <c r="A13" s="26" t="s">
        <v>140</v>
      </c>
      <c r="B13" s="27" t="s">
        <v>143</v>
      </c>
      <c r="C13" s="25">
        <v>28050</v>
      </c>
      <c r="D13" s="25">
        <f t="shared" si="2"/>
        <v>28050</v>
      </c>
      <c r="E13" s="25" t="str">
        <f t="shared" si="0"/>
        <v>-</v>
      </c>
      <c r="F13" s="38">
        <f t="shared" si="1"/>
        <v>1</v>
      </c>
    </row>
    <row r="14" spans="1:6" ht="24.95" customHeight="1" x14ac:dyDescent="0.2">
      <c r="A14" s="26" t="s">
        <v>200</v>
      </c>
      <c r="B14" s="27" t="s">
        <v>199</v>
      </c>
      <c r="C14" s="25">
        <v>4500</v>
      </c>
      <c r="D14" s="25">
        <f t="shared" si="2"/>
        <v>4500</v>
      </c>
      <c r="E14" s="25" t="str">
        <f t="shared" si="0"/>
        <v>-</v>
      </c>
      <c r="F14" s="38">
        <f t="shared" si="1"/>
        <v>1</v>
      </c>
    </row>
    <row r="15" spans="1:6" ht="24.95" customHeight="1" x14ac:dyDescent="0.2">
      <c r="A15" s="26" t="s">
        <v>202</v>
      </c>
      <c r="B15" s="27" t="s">
        <v>201</v>
      </c>
      <c r="C15" s="25">
        <v>10636</v>
      </c>
      <c r="D15" s="25">
        <f t="shared" si="2"/>
        <v>10636</v>
      </c>
      <c r="E15" s="25" t="str">
        <f t="shared" si="0"/>
        <v>-</v>
      </c>
      <c r="F15" s="38">
        <f t="shared" si="1"/>
        <v>1</v>
      </c>
    </row>
    <row r="16" spans="1:6" ht="24.95" customHeight="1" x14ac:dyDescent="0.2">
      <c r="A16" s="4" t="s">
        <v>4</v>
      </c>
      <c r="B16" s="24" t="s">
        <v>121</v>
      </c>
      <c r="C16" s="25">
        <v>132097</v>
      </c>
      <c r="D16" s="25">
        <f t="shared" si="2"/>
        <v>132097</v>
      </c>
      <c r="E16" s="25" t="str">
        <f t="shared" si="0"/>
        <v>-</v>
      </c>
      <c r="F16" s="38">
        <f t="shared" si="1"/>
        <v>1</v>
      </c>
    </row>
    <row r="17" spans="1:6" ht="24.95" customHeight="1" x14ac:dyDescent="0.2">
      <c r="A17" s="4" t="s">
        <v>5</v>
      </c>
      <c r="B17" s="24" t="s">
        <v>117</v>
      </c>
      <c r="C17" s="25">
        <v>125888</v>
      </c>
      <c r="D17" s="25">
        <f t="shared" si="2"/>
        <v>125888</v>
      </c>
      <c r="E17" s="25" t="str">
        <f t="shared" si="0"/>
        <v>-</v>
      </c>
      <c r="F17" s="38">
        <f t="shared" si="1"/>
        <v>1</v>
      </c>
    </row>
    <row r="18" spans="1:6" ht="24.95" customHeight="1" x14ac:dyDescent="0.2">
      <c r="A18" s="4" t="s">
        <v>6</v>
      </c>
      <c r="B18" s="24" t="s">
        <v>123</v>
      </c>
      <c r="C18" s="25">
        <v>66958</v>
      </c>
      <c r="D18" s="25">
        <f t="shared" si="2"/>
        <v>66958</v>
      </c>
      <c r="E18" s="25" t="str">
        <f t="shared" si="0"/>
        <v>-</v>
      </c>
      <c r="F18" s="38">
        <f t="shared" si="1"/>
        <v>1</v>
      </c>
    </row>
    <row r="19" spans="1:6" ht="24.95" customHeight="1" x14ac:dyDescent="0.2">
      <c r="A19" s="4" t="s">
        <v>7</v>
      </c>
      <c r="B19" s="24" t="s">
        <v>122</v>
      </c>
      <c r="C19" s="25">
        <v>27999</v>
      </c>
      <c r="D19" s="25">
        <f t="shared" si="2"/>
        <v>27999</v>
      </c>
      <c r="E19" s="25" t="str">
        <f t="shared" si="0"/>
        <v>-</v>
      </c>
      <c r="F19" s="38">
        <f t="shared" si="1"/>
        <v>1</v>
      </c>
    </row>
    <row r="20" spans="1:6" ht="24.95" customHeight="1" x14ac:dyDescent="0.2">
      <c r="A20" s="4" t="s">
        <v>8</v>
      </c>
      <c r="B20" s="24" t="s">
        <v>118</v>
      </c>
      <c r="C20" s="25">
        <v>86601</v>
      </c>
      <c r="D20" s="25">
        <f t="shared" si="2"/>
        <v>86601</v>
      </c>
      <c r="E20" s="25" t="str">
        <f t="shared" si="0"/>
        <v>-</v>
      </c>
      <c r="F20" s="38">
        <f t="shared" si="1"/>
        <v>1</v>
      </c>
    </row>
    <row r="21" spans="1:6" ht="24.95" customHeight="1" x14ac:dyDescent="0.2">
      <c r="A21" s="4" t="s">
        <v>9</v>
      </c>
      <c r="B21" s="24" t="s">
        <v>119</v>
      </c>
      <c r="C21" s="25">
        <v>36512</v>
      </c>
      <c r="D21" s="25">
        <f t="shared" si="2"/>
        <v>36512</v>
      </c>
      <c r="E21" s="25" t="str">
        <f t="shared" si="0"/>
        <v>-</v>
      </c>
      <c r="F21" s="38">
        <f t="shared" si="1"/>
        <v>1</v>
      </c>
    </row>
    <row r="22" spans="1:6" ht="24.95" customHeight="1" x14ac:dyDescent="0.2">
      <c r="A22" s="4" t="s">
        <v>10</v>
      </c>
      <c r="B22" s="24" t="s">
        <v>124</v>
      </c>
      <c r="C22" s="25">
        <v>12215</v>
      </c>
      <c r="D22" s="25">
        <f t="shared" si="2"/>
        <v>12215</v>
      </c>
      <c r="E22" s="25" t="str">
        <f t="shared" si="0"/>
        <v>-</v>
      </c>
      <c r="F22" s="38">
        <f t="shared" si="1"/>
        <v>1</v>
      </c>
    </row>
    <row r="23" spans="1:6" ht="24.95" customHeight="1" x14ac:dyDescent="0.2">
      <c r="A23" s="4" t="s">
        <v>11</v>
      </c>
      <c r="B23" s="24" t="s">
        <v>120</v>
      </c>
      <c r="C23" s="25">
        <v>14285</v>
      </c>
      <c r="D23" s="25">
        <f t="shared" si="2"/>
        <v>14285</v>
      </c>
      <c r="E23" s="25" t="str">
        <f t="shared" si="0"/>
        <v>-</v>
      </c>
      <c r="F23" s="38">
        <f t="shared" si="1"/>
        <v>1</v>
      </c>
    </row>
    <row r="24" spans="1:6" ht="24.95" customHeight="1" x14ac:dyDescent="0.2">
      <c r="A24" s="4" t="s">
        <v>12</v>
      </c>
      <c r="B24" s="24" t="s">
        <v>159</v>
      </c>
      <c r="C24" s="25">
        <v>170451</v>
      </c>
      <c r="D24" s="25">
        <f t="shared" si="2"/>
        <v>170451</v>
      </c>
      <c r="E24" s="25" t="str">
        <f t="shared" si="0"/>
        <v>-</v>
      </c>
      <c r="F24" s="38">
        <f t="shared" si="1"/>
        <v>1</v>
      </c>
    </row>
    <row r="25" spans="1:6" ht="24.95" customHeight="1" x14ac:dyDescent="0.2">
      <c r="A25" s="4" t="s">
        <v>13</v>
      </c>
      <c r="B25" s="24" t="s">
        <v>144</v>
      </c>
      <c r="C25" s="25">
        <v>50680</v>
      </c>
      <c r="D25" s="25">
        <f t="shared" si="2"/>
        <v>50680</v>
      </c>
      <c r="E25" s="25" t="str">
        <f t="shared" si="0"/>
        <v>-</v>
      </c>
      <c r="F25" s="38">
        <f t="shared" si="1"/>
        <v>1</v>
      </c>
    </row>
    <row r="26" spans="1:6" ht="24.95" customHeight="1" x14ac:dyDescent="0.2">
      <c r="A26" s="26" t="s">
        <v>14</v>
      </c>
      <c r="B26" s="24" t="s">
        <v>173</v>
      </c>
      <c r="C26" s="25">
        <v>396988</v>
      </c>
      <c r="D26" s="25">
        <f t="shared" si="2"/>
        <v>396988</v>
      </c>
      <c r="E26" s="25" t="str">
        <f t="shared" si="0"/>
        <v>-</v>
      </c>
      <c r="F26" s="38">
        <f t="shared" si="1"/>
        <v>1</v>
      </c>
    </row>
    <row r="27" spans="1:6" ht="37.5" x14ac:dyDescent="0.2">
      <c r="A27" s="4" t="s">
        <v>125</v>
      </c>
      <c r="B27" s="27" t="s">
        <v>146</v>
      </c>
      <c r="C27" s="25">
        <v>396338</v>
      </c>
      <c r="D27" s="25">
        <f t="shared" si="2"/>
        <v>396338</v>
      </c>
      <c r="E27" s="25" t="str">
        <f t="shared" si="0"/>
        <v>-</v>
      </c>
      <c r="F27" s="38">
        <f t="shared" si="1"/>
        <v>1</v>
      </c>
    </row>
    <row r="28" spans="1:6" ht="24.95" customHeight="1" x14ac:dyDescent="0.2">
      <c r="A28" s="26" t="s">
        <v>145</v>
      </c>
      <c r="B28" s="27" t="s">
        <v>148</v>
      </c>
      <c r="C28" s="25">
        <v>250</v>
      </c>
      <c r="D28" s="25">
        <f t="shared" si="2"/>
        <v>250</v>
      </c>
      <c r="E28" s="25" t="str">
        <f t="shared" si="0"/>
        <v>-</v>
      </c>
      <c r="F28" s="38">
        <f t="shared" si="1"/>
        <v>1</v>
      </c>
    </row>
    <row r="29" spans="1:6" ht="24.75" customHeight="1" x14ac:dyDescent="0.2">
      <c r="A29" s="26" t="s">
        <v>149</v>
      </c>
      <c r="B29" s="27" t="s">
        <v>147</v>
      </c>
      <c r="C29" s="25">
        <v>400</v>
      </c>
      <c r="D29" s="25">
        <f t="shared" si="2"/>
        <v>400</v>
      </c>
      <c r="E29" s="25" t="str">
        <f t="shared" si="0"/>
        <v>-</v>
      </c>
      <c r="F29" s="38">
        <f t="shared" si="1"/>
        <v>1</v>
      </c>
    </row>
    <row r="30" spans="1:6" ht="24.95" customHeight="1" x14ac:dyDescent="0.2">
      <c r="A30" s="5" t="s">
        <v>15</v>
      </c>
      <c r="B30" s="28" t="s">
        <v>110</v>
      </c>
      <c r="C30" s="25">
        <v>0</v>
      </c>
      <c r="D30" s="25">
        <f t="shared" si="2"/>
        <v>0</v>
      </c>
      <c r="E30" s="25" t="str">
        <f t="shared" si="0"/>
        <v>-</v>
      </c>
      <c r="F30" s="38" t="str">
        <f t="shared" si="1"/>
        <v>-</v>
      </c>
    </row>
    <row r="31" spans="1:6" ht="24.95" customHeight="1" x14ac:dyDescent="0.2">
      <c r="A31" s="5" t="s">
        <v>107</v>
      </c>
      <c r="B31" s="29" t="s">
        <v>150</v>
      </c>
      <c r="C31" s="25">
        <v>0</v>
      </c>
      <c r="D31" s="25">
        <f t="shared" si="2"/>
        <v>0</v>
      </c>
      <c r="E31" s="25" t="str">
        <f t="shared" si="0"/>
        <v>-</v>
      </c>
      <c r="F31" s="38" t="str">
        <f t="shared" si="1"/>
        <v>-</v>
      </c>
    </row>
    <row r="32" spans="1:6" ht="24.95" customHeight="1" x14ac:dyDescent="0.2">
      <c r="A32" s="26" t="s">
        <v>151</v>
      </c>
      <c r="B32" s="27" t="s">
        <v>161</v>
      </c>
      <c r="C32" s="25">
        <v>0</v>
      </c>
      <c r="D32" s="25">
        <f t="shared" si="2"/>
        <v>0</v>
      </c>
      <c r="E32" s="25" t="str">
        <f t="shared" si="0"/>
        <v>-</v>
      </c>
      <c r="F32" s="38" t="str">
        <f t="shared" si="1"/>
        <v>-</v>
      </c>
    </row>
    <row r="33" spans="1:21" ht="24.95" customHeight="1" x14ac:dyDescent="0.2">
      <c r="A33" s="5" t="s">
        <v>108</v>
      </c>
      <c r="B33" s="30" t="s">
        <v>111</v>
      </c>
      <c r="C33" s="25">
        <v>0</v>
      </c>
      <c r="D33" s="25">
        <f t="shared" si="2"/>
        <v>0</v>
      </c>
      <c r="E33" s="25" t="str">
        <f t="shared" si="0"/>
        <v>-</v>
      </c>
      <c r="F33" s="38" t="str">
        <f t="shared" si="1"/>
        <v>-</v>
      </c>
    </row>
    <row r="34" spans="1:21" ht="24.95" customHeight="1" x14ac:dyDescent="0.2">
      <c r="A34" s="5" t="s">
        <v>109</v>
      </c>
      <c r="B34" s="29" t="s">
        <v>160</v>
      </c>
      <c r="C34" s="25">
        <v>9690</v>
      </c>
      <c r="D34" s="25">
        <f t="shared" si="2"/>
        <v>9690</v>
      </c>
      <c r="E34" s="25" t="str">
        <f t="shared" si="0"/>
        <v>-</v>
      </c>
      <c r="F34" s="38">
        <f t="shared" si="1"/>
        <v>1</v>
      </c>
    </row>
    <row r="35" spans="1:21" ht="24.95" customHeight="1" x14ac:dyDescent="0.2">
      <c r="A35" s="5" t="s">
        <v>174</v>
      </c>
      <c r="B35" s="29" t="s">
        <v>175</v>
      </c>
      <c r="C35" s="25">
        <v>0</v>
      </c>
      <c r="D35" s="25">
        <f t="shared" si="2"/>
        <v>0</v>
      </c>
      <c r="E35" s="25" t="str">
        <f>IF(C35=D35,"-",D35-C35)</f>
        <v>-</v>
      </c>
      <c r="F35" s="38" t="str">
        <f>IF(C35=0,"-",D35/C35)</f>
        <v>-</v>
      </c>
    </row>
    <row r="36" spans="1:21" ht="24.95" customHeight="1" x14ac:dyDescent="0.2">
      <c r="A36" s="5" t="s">
        <v>181</v>
      </c>
      <c r="B36" s="29" t="s">
        <v>182</v>
      </c>
      <c r="C36" s="25">
        <v>1500</v>
      </c>
      <c r="D36" s="25">
        <f t="shared" si="2"/>
        <v>1500</v>
      </c>
      <c r="E36" s="25" t="str">
        <f>IF(C36=D36,"-",D36-C36)</f>
        <v>-</v>
      </c>
      <c r="F36" s="38">
        <f>IF(C36=0,"-",D36/C36)</f>
        <v>1</v>
      </c>
    </row>
    <row r="37" spans="1:21" ht="24.95" customHeight="1" x14ac:dyDescent="0.2">
      <c r="A37" s="5" t="s">
        <v>188</v>
      </c>
      <c r="B37" s="29" t="s">
        <v>215</v>
      </c>
      <c r="C37" s="25">
        <v>23804</v>
      </c>
      <c r="D37" s="25">
        <f t="shared" ref="D37:D39" si="3">C37</f>
        <v>23804</v>
      </c>
      <c r="E37" s="25" t="str">
        <f>IF(C37=D37,"-",D37-C37)</f>
        <v>-</v>
      </c>
      <c r="F37" s="38">
        <f>IF(C37=0,"-",D37/C37)</f>
        <v>1</v>
      </c>
    </row>
    <row r="38" spans="1:21" ht="24.95" customHeight="1" x14ac:dyDescent="0.2">
      <c r="A38" s="53" t="s">
        <v>203</v>
      </c>
      <c r="B38" s="1" t="s">
        <v>205</v>
      </c>
      <c r="C38" s="25">
        <v>15850</v>
      </c>
      <c r="D38" s="25">
        <f t="shared" si="3"/>
        <v>15850</v>
      </c>
      <c r="E38" s="25" t="str">
        <f t="shared" ref="E38:E40" si="4">IF(C38=D38,"-",D38-C38)</f>
        <v>-</v>
      </c>
      <c r="F38" s="38">
        <f t="shared" ref="F38:F40" si="5">IF(C38=0,"-",D38/C38)</f>
        <v>1</v>
      </c>
    </row>
    <row r="39" spans="1:21" ht="24.95" customHeight="1" x14ac:dyDescent="0.2">
      <c r="A39" s="53" t="s">
        <v>204</v>
      </c>
      <c r="B39" s="30" t="s">
        <v>206</v>
      </c>
      <c r="C39" s="25">
        <v>0</v>
      </c>
      <c r="D39" s="25">
        <f t="shared" si="3"/>
        <v>0</v>
      </c>
      <c r="E39" s="25" t="str">
        <f t="shared" si="4"/>
        <v>-</v>
      </c>
      <c r="F39" s="38" t="str">
        <f t="shared" si="5"/>
        <v>-</v>
      </c>
    </row>
    <row r="40" spans="1:21" s="33" customFormat="1" ht="24.95" customHeight="1" x14ac:dyDescent="0.2">
      <c r="A40" s="6" t="s">
        <v>56</v>
      </c>
      <c r="B40" s="31" t="s">
        <v>57</v>
      </c>
      <c r="C40" s="32">
        <v>278</v>
      </c>
      <c r="D40" s="32">
        <f>C40</f>
        <v>278</v>
      </c>
      <c r="E40" s="25" t="str">
        <f t="shared" si="4"/>
        <v>-</v>
      </c>
      <c r="F40" s="38">
        <f t="shared" si="5"/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1" s="33" customFormat="1" ht="24.95" customHeight="1" x14ac:dyDescent="0.2">
      <c r="A41" s="6" t="s">
        <v>55</v>
      </c>
      <c r="B41" s="31" t="s">
        <v>58</v>
      </c>
      <c r="C41" s="32">
        <v>131359</v>
      </c>
      <c r="D41" s="32">
        <f>C41</f>
        <v>131359</v>
      </c>
      <c r="E41" s="32" t="str">
        <f t="shared" si="0"/>
        <v>-</v>
      </c>
      <c r="F41" s="39">
        <f t="shared" si="1"/>
        <v>1</v>
      </c>
    </row>
    <row r="42" spans="1:21" s="33" customFormat="1" ht="43.5" customHeight="1" x14ac:dyDescent="0.2">
      <c r="A42" s="6" t="s">
        <v>183</v>
      </c>
      <c r="B42" s="31" t="s">
        <v>184</v>
      </c>
      <c r="C42" s="32">
        <v>32139</v>
      </c>
      <c r="D42" s="32">
        <f>C42</f>
        <v>32139</v>
      </c>
      <c r="E42" s="32" t="str">
        <f t="shared" si="0"/>
        <v>-</v>
      </c>
      <c r="F42" s="39">
        <f t="shared" si="1"/>
        <v>1</v>
      </c>
    </row>
    <row r="43" spans="1:21" s="33" customFormat="1" ht="24" customHeight="1" x14ac:dyDescent="0.2">
      <c r="A43" s="6" t="s">
        <v>191</v>
      </c>
      <c r="B43" s="31" t="s">
        <v>192</v>
      </c>
      <c r="C43" s="32">
        <v>0</v>
      </c>
      <c r="D43" s="32">
        <f>C43</f>
        <v>0</v>
      </c>
      <c r="E43" s="32" t="str">
        <f t="shared" si="0"/>
        <v>-</v>
      </c>
      <c r="F43" s="39" t="str">
        <f t="shared" si="1"/>
        <v>-</v>
      </c>
    </row>
    <row r="44" spans="1:21" s="33" customFormat="1" ht="24" customHeight="1" x14ac:dyDescent="0.2">
      <c r="A44" s="6" t="s">
        <v>207</v>
      </c>
      <c r="B44" s="31" t="s">
        <v>208</v>
      </c>
      <c r="C44" s="32">
        <v>429</v>
      </c>
      <c r="D44" s="32">
        <f>C44</f>
        <v>429</v>
      </c>
      <c r="E44" s="32" t="str">
        <f t="shared" si="0"/>
        <v>-</v>
      </c>
      <c r="F44" s="39">
        <f t="shared" si="1"/>
        <v>1</v>
      </c>
    </row>
    <row r="45" spans="1:21" s="33" customFormat="1" ht="24.75" customHeight="1" x14ac:dyDescent="0.2">
      <c r="A45" s="6" t="s">
        <v>152</v>
      </c>
      <c r="B45" s="31" t="s">
        <v>214</v>
      </c>
      <c r="C45" s="32">
        <f>C11+C13+C14+C26+C32+C42+C44</f>
        <v>632349</v>
      </c>
      <c r="D45" s="32">
        <f>D11+D13+D14+D26+D32+D42+D44</f>
        <v>632349</v>
      </c>
      <c r="E45" s="32" t="str">
        <f t="shared" si="0"/>
        <v>-</v>
      </c>
      <c r="F45" s="39">
        <f t="shared" si="1"/>
        <v>1</v>
      </c>
    </row>
    <row r="46" spans="1:21" ht="24.95" customHeight="1" x14ac:dyDescent="0.2">
      <c r="A46" s="34" t="s">
        <v>129</v>
      </c>
      <c r="B46" s="31" t="s">
        <v>179</v>
      </c>
      <c r="C46" s="23">
        <f>C47+C48+C49+C57+C59+C65+C66+C64</f>
        <v>26845</v>
      </c>
      <c r="D46" s="23">
        <f>D47+D48+D49+D57+D59+D65+D66+D64</f>
        <v>26845</v>
      </c>
      <c r="E46" s="23" t="str">
        <f t="shared" si="0"/>
        <v>-</v>
      </c>
      <c r="F46" s="38">
        <f t="shared" si="1"/>
        <v>1</v>
      </c>
    </row>
    <row r="47" spans="1:21" ht="24.95" customHeight="1" x14ac:dyDescent="0.2">
      <c r="A47" s="5" t="s">
        <v>16</v>
      </c>
      <c r="B47" s="29" t="s">
        <v>17</v>
      </c>
      <c r="C47" s="25">
        <v>929</v>
      </c>
      <c r="D47" s="25">
        <f>C47</f>
        <v>929</v>
      </c>
      <c r="E47" s="25" t="str">
        <f t="shared" si="0"/>
        <v>-</v>
      </c>
      <c r="F47" s="38">
        <f t="shared" si="1"/>
        <v>1</v>
      </c>
    </row>
    <row r="48" spans="1:21" ht="24.95" customHeight="1" x14ac:dyDescent="0.2">
      <c r="A48" s="5" t="s">
        <v>18</v>
      </c>
      <c r="B48" s="29" t="s">
        <v>19</v>
      </c>
      <c r="C48" s="25">
        <v>3089</v>
      </c>
      <c r="D48" s="25">
        <f t="shared" ref="D48:D66" si="6">C48</f>
        <v>3089</v>
      </c>
      <c r="E48" s="25" t="str">
        <f t="shared" si="0"/>
        <v>-</v>
      </c>
      <c r="F48" s="38">
        <f t="shared" si="1"/>
        <v>1</v>
      </c>
    </row>
    <row r="49" spans="1:6" ht="24.95" customHeight="1" x14ac:dyDescent="0.2">
      <c r="A49" s="5" t="s">
        <v>20</v>
      </c>
      <c r="B49" s="35" t="s">
        <v>180</v>
      </c>
      <c r="C49" s="25">
        <f>C50+C52+C53+C54+C55+C56</f>
        <v>208</v>
      </c>
      <c r="D49" s="25">
        <f>D50+D52+D53+D54+D55+D56</f>
        <v>208</v>
      </c>
      <c r="E49" s="25" t="str">
        <f t="shared" si="0"/>
        <v>-</v>
      </c>
      <c r="F49" s="38">
        <f t="shared" si="1"/>
        <v>1</v>
      </c>
    </row>
    <row r="50" spans="1:6" ht="24.95" customHeight="1" x14ac:dyDescent="0.2">
      <c r="A50" s="5" t="s">
        <v>37</v>
      </c>
      <c r="B50" s="2" t="s">
        <v>30</v>
      </c>
      <c r="C50" s="25">
        <v>28</v>
      </c>
      <c r="D50" s="25">
        <f t="shared" si="6"/>
        <v>28</v>
      </c>
      <c r="E50" s="25" t="str">
        <f t="shared" si="0"/>
        <v>-</v>
      </c>
      <c r="F50" s="38">
        <f t="shared" si="1"/>
        <v>1</v>
      </c>
    </row>
    <row r="51" spans="1:6" ht="24.95" customHeight="1" x14ac:dyDescent="0.2">
      <c r="A51" s="5" t="s">
        <v>38</v>
      </c>
      <c r="B51" s="3" t="s">
        <v>31</v>
      </c>
      <c r="C51" s="25">
        <v>28</v>
      </c>
      <c r="D51" s="25">
        <f t="shared" si="6"/>
        <v>28</v>
      </c>
      <c r="E51" s="25" t="str">
        <f t="shared" si="0"/>
        <v>-</v>
      </c>
      <c r="F51" s="38">
        <f t="shared" si="1"/>
        <v>1</v>
      </c>
    </row>
    <row r="52" spans="1:6" ht="24.95" customHeight="1" x14ac:dyDescent="0.2">
      <c r="A52" s="5" t="s">
        <v>39</v>
      </c>
      <c r="B52" s="2" t="s">
        <v>32</v>
      </c>
      <c r="C52" s="25">
        <v>26</v>
      </c>
      <c r="D52" s="25">
        <f t="shared" si="6"/>
        <v>26</v>
      </c>
      <c r="E52" s="25" t="str">
        <f t="shared" si="0"/>
        <v>-</v>
      </c>
      <c r="F52" s="38">
        <f t="shared" si="1"/>
        <v>1</v>
      </c>
    </row>
    <row r="53" spans="1:6" ht="24.95" customHeight="1" x14ac:dyDescent="0.2">
      <c r="A53" s="5" t="s">
        <v>40</v>
      </c>
      <c r="B53" s="2" t="s">
        <v>33</v>
      </c>
      <c r="C53" s="25">
        <v>0</v>
      </c>
      <c r="D53" s="25">
        <f t="shared" si="6"/>
        <v>0</v>
      </c>
      <c r="E53" s="25" t="str">
        <f t="shared" si="0"/>
        <v>-</v>
      </c>
      <c r="F53" s="38" t="str">
        <f t="shared" si="1"/>
        <v>-</v>
      </c>
    </row>
    <row r="54" spans="1:6" ht="24.95" customHeight="1" x14ac:dyDescent="0.2">
      <c r="A54" s="5" t="s">
        <v>41</v>
      </c>
      <c r="B54" s="2" t="s">
        <v>34</v>
      </c>
      <c r="C54" s="25">
        <v>0</v>
      </c>
      <c r="D54" s="25">
        <f t="shared" si="6"/>
        <v>0</v>
      </c>
      <c r="E54" s="25" t="str">
        <f t="shared" si="0"/>
        <v>-</v>
      </c>
      <c r="F54" s="38" t="str">
        <f t="shared" si="1"/>
        <v>-</v>
      </c>
    </row>
    <row r="55" spans="1:6" ht="24.95" customHeight="1" x14ac:dyDescent="0.2">
      <c r="A55" s="5" t="s">
        <v>42</v>
      </c>
      <c r="B55" s="2" t="s">
        <v>35</v>
      </c>
      <c r="C55" s="25">
        <v>111</v>
      </c>
      <c r="D55" s="25">
        <f t="shared" si="6"/>
        <v>111</v>
      </c>
      <c r="E55" s="25" t="str">
        <f t="shared" si="0"/>
        <v>-</v>
      </c>
      <c r="F55" s="38">
        <f t="shared" si="1"/>
        <v>1</v>
      </c>
    </row>
    <row r="56" spans="1:6" ht="24.95" customHeight="1" x14ac:dyDescent="0.2">
      <c r="A56" s="5" t="s">
        <v>43</v>
      </c>
      <c r="B56" s="2" t="s">
        <v>36</v>
      </c>
      <c r="C56" s="25">
        <v>43</v>
      </c>
      <c r="D56" s="25">
        <f t="shared" si="6"/>
        <v>43</v>
      </c>
      <c r="E56" s="25" t="str">
        <f t="shared" si="0"/>
        <v>-</v>
      </c>
      <c r="F56" s="38">
        <f t="shared" si="1"/>
        <v>1</v>
      </c>
    </row>
    <row r="57" spans="1:6" ht="24.95" customHeight="1" x14ac:dyDescent="0.2">
      <c r="A57" s="5" t="s">
        <v>21</v>
      </c>
      <c r="B57" s="29" t="s">
        <v>153</v>
      </c>
      <c r="C57" s="25">
        <v>16282</v>
      </c>
      <c r="D57" s="25">
        <f t="shared" si="6"/>
        <v>16282</v>
      </c>
      <c r="E57" s="25" t="str">
        <f t="shared" si="0"/>
        <v>-</v>
      </c>
      <c r="F57" s="38">
        <f t="shared" si="1"/>
        <v>1</v>
      </c>
    </row>
    <row r="58" spans="1:6" ht="24.95" customHeight="1" x14ac:dyDescent="0.2">
      <c r="A58" s="5" t="s">
        <v>154</v>
      </c>
      <c r="B58" s="2" t="s">
        <v>155</v>
      </c>
      <c r="C58" s="25">
        <v>50</v>
      </c>
      <c r="D58" s="25">
        <f t="shared" si="6"/>
        <v>50</v>
      </c>
      <c r="E58" s="25" t="str">
        <f t="shared" si="0"/>
        <v>-</v>
      </c>
      <c r="F58" s="38">
        <f t="shared" si="1"/>
        <v>1</v>
      </c>
    </row>
    <row r="59" spans="1:6" ht="24.95" customHeight="1" x14ac:dyDescent="0.2">
      <c r="A59" s="5" t="s">
        <v>22</v>
      </c>
      <c r="B59" s="35" t="s">
        <v>178</v>
      </c>
      <c r="C59" s="25">
        <f>C60+C61+C62+C63</f>
        <v>3643</v>
      </c>
      <c r="D59" s="25">
        <f>D60+D61+D62+D63</f>
        <v>3643</v>
      </c>
      <c r="E59" s="25" t="str">
        <f t="shared" si="0"/>
        <v>-</v>
      </c>
      <c r="F59" s="38">
        <f t="shared" si="1"/>
        <v>1</v>
      </c>
    </row>
    <row r="60" spans="1:6" ht="24.95" customHeight="1" x14ac:dyDescent="0.2">
      <c r="A60" s="5" t="s">
        <v>48</v>
      </c>
      <c r="B60" s="2" t="s">
        <v>44</v>
      </c>
      <c r="C60" s="25">
        <v>2795</v>
      </c>
      <c r="D60" s="25">
        <f t="shared" si="6"/>
        <v>2795</v>
      </c>
      <c r="E60" s="25" t="str">
        <f t="shared" si="0"/>
        <v>-</v>
      </c>
      <c r="F60" s="38">
        <f t="shared" si="1"/>
        <v>1</v>
      </c>
    </row>
    <row r="61" spans="1:6" ht="24.95" customHeight="1" x14ac:dyDescent="0.2">
      <c r="A61" s="5" t="s">
        <v>49</v>
      </c>
      <c r="B61" s="2" t="s">
        <v>45</v>
      </c>
      <c r="C61" s="25">
        <v>399</v>
      </c>
      <c r="D61" s="25">
        <f t="shared" si="6"/>
        <v>399</v>
      </c>
      <c r="E61" s="25" t="str">
        <f t="shared" si="0"/>
        <v>-</v>
      </c>
      <c r="F61" s="38">
        <f t="shared" si="1"/>
        <v>1</v>
      </c>
    </row>
    <row r="62" spans="1:6" ht="24.95" customHeight="1" x14ac:dyDescent="0.2">
      <c r="A62" s="5" t="s">
        <v>50</v>
      </c>
      <c r="B62" s="2" t="s">
        <v>46</v>
      </c>
      <c r="C62" s="25">
        <v>0</v>
      </c>
      <c r="D62" s="25">
        <f t="shared" si="6"/>
        <v>0</v>
      </c>
      <c r="E62" s="25" t="str">
        <f t="shared" si="0"/>
        <v>-</v>
      </c>
      <c r="F62" s="38" t="str">
        <f t="shared" si="1"/>
        <v>-</v>
      </c>
    </row>
    <row r="63" spans="1:6" ht="24.95" customHeight="1" x14ac:dyDescent="0.2">
      <c r="A63" s="5" t="s">
        <v>51</v>
      </c>
      <c r="B63" s="2" t="s">
        <v>47</v>
      </c>
      <c r="C63" s="25">
        <v>449</v>
      </c>
      <c r="D63" s="25">
        <f t="shared" si="6"/>
        <v>449</v>
      </c>
      <c r="E63" s="25" t="str">
        <f t="shared" si="0"/>
        <v>-</v>
      </c>
      <c r="F63" s="38">
        <f t="shared" si="1"/>
        <v>1</v>
      </c>
    </row>
    <row r="64" spans="1:6" ht="24.95" customHeight="1" x14ac:dyDescent="0.2">
      <c r="A64" s="5" t="s">
        <v>23</v>
      </c>
      <c r="B64" s="29" t="s">
        <v>24</v>
      </c>
      <c r="C64" s="25">
        <v>0</v>
      </c>
      <c r="D64" s="25">
        <f t="shared" si="6"/>
        <v>0</v>
      </c>
      <c r="E64" s="25" t="str">
        <f t="shared" si="0"/>
        <v>-</v>
      </c>
      <c r="F64" s="38" t="str">
        <f t="shared" si="1"/>
        <v>-</v>
      </c>
    </row>
    <row r="65" spans="1:6" ht="24.95" customHeight="1" x14ac:dyDescent="0.2">
      <c r="A65" s="5" t="s">
        <v>25</v>
      </c>
      <c r="B65" s="29" t="s">
        <v>156</v>
      </c>
      <c r="C65" s="25">
        <v>2537</v>
      </c>
      <c r="D65" s="25">
        <f t="shared" si="6"/>
        <v>2537</v>
      </c>
      <c r="E65" s="25" t="str">
        <f t="shared" si="0"/>
        <v>-</v>
      </c>
      <c r="F65" s="38">
        <f t="shared" si="1"/>
        <v>1</v>
      </c>
    </row>
    <row r="66" spans="1:6" ht="24.95" customHeight="1" x14ac:dyDescent="0.2">
      <c r="A66" s="5" t="s">
        <v>26</v>
      </c>
      <c r="B66" s="29" t="s">
        <v>27</v>
      </c>
      <c r="C66" s="25">
        <v>157</v>
      </c>
      <c r="D66" s="25">
        <f t="shared" si="6"/>
        <v>157</v>
      </c>
      <c r="E66" s="25" t="str">
        <f t="shared" si="0"/>
        <v>-</v>
      </c>
      <c r="F66" s="38">
        <f t="shared" si="1"/>
        <v>1</v>
      </c>
    </row>
    <row r="67" spans="1:6" ht="24.95" customHeight="1" x14ac:dyDescent="0.2">
      <c r="A67" s="36" t="s">
        <v>131</v>
      </c>
      <c r="B67" s="31" t="s">
        <v>157</v>
      </c>
      <c r="C67" s="23">
        <f>C68+C69+C70+C71</f>
        <v>6942</v>
      </c>
      <c r="D67" s="23">
        <f>D68+D69+D70+D71</f>
        <v>6918</v>
      </c>
      <c r="E67" s="23">
        <f t="shared" si="0"/>
        <v>-24</v>
      </c>
      <c r="F67" s="38">
        <f t="shared" si="1"/>
        <v>0.99650000000000005</v>
      </c>
    </row>
    <row r="68" spans="1:6" ht="24.95" customHeight="1" x14ac:dyDescent="0.2">
      <c r="A68" s="5" t="s">
        <v>99</v>
      </c>
      <c r="B68" s="29" t="s">
        <v>212</v>
      </c>
      <c r="C68" s="25">
        <v>0</v>
      </c>
      <c r="D68" s="25">
        <f>C68</f>
        <v>0</v>
      </c>
      <c r="E68" s="25" t="str">
        <f t="shared" si="0"/>
        <v>-</v>
      </c>
      <c r="F68" s="38" t="str">
        <f t="shared" si="1"/>
        <v>-</v>
      </c>
    </row>
    <row r="69" spans="1:6" ht="24.95" customHeight="1" x14ac:dyDescent="0.2">
      <c r="A69" s="5" t="s">
        <v>28</v>
      </c>
      <c r="B69" s="29" t="s">
        <v>53</v>
      </c>
      <c r="C69" s="25">
        <v>0</v>
      </c>
      <c r="D69" s="25">
        <f>C69</f>
        <v>0</v>
      </c>
      <c r="E69" s="25" t="str">
        <f t="shared" si="0"/>
        <v>-</v>
      </c>
      <c r="F69" s="38" t="str">
        <f t="shared" si="1"/>
        <v>-</v>
      </c>
    </row>
    <row r="70" spans="1:6" ht="24.95" customHeight="1" x14ac:dyDescent="0.2">
      <c r="A70" s="5" t="s">
        <v>29</v>
      </c>
      <c r="B70" s="29" t="s">
        <v>101</v>
      </c>
      <c r="C70" s="25">
        <v>0</v>
      </c>
      <c r="D70" s="25">
        <f>C70</f>
        <v>0</v>
      </c>
      <c r="E70" s="25" t="str">
        <f t="shared" si="0"/>
        <v>-</v>
      </c>
      <c r="F70" s="38" t="str">
        <f t="shared" si="1"/>
        <v>-</v>
      </c>
    </row>
    <row r="71" spans="1:6" ht="24.95" customHeight="1" x14ac:dyDescent="0.2">
      <c r="A71" s="5" t="s">
        <v>100</v>
      </c>
      <c r="B71" s="29" t="s">
        <v>102</v>
      </c>
      <c r="C71" s="25">
        <v>6942</v>
      </c>
      <c r="D71" s="25">
        <f>C71-6385+6340+21</f>
        <v>6918</v>
      </c>
      <c r="E71" s="25">
        <f t="shared" si="0"/>
        <v>-24</v>
      </c>
      <c r="F71" s="38">
        <f t="shared" si="1"/>
        <v>0.99650000000000005</v>
      </c>
    </row>
    <row r="72" spans="1:6" ht="24.95" customHeight="1" x14ac:dyDescent="0.2">
      <c r="A72" s="36" t="s">
        <v>133</v>
      </c>
      <c r="B72" s="31" t="s">
        <v>112</v>
      </c>
      <c r="C72" s="32">
        <v>57</v>
      </c>
      <c r="D72" s="32">
        <f>C72-32</f>
        <v>25</v>
      </c>
      <c r="E72" s="32">
        <f t="shared" si="0"/>
        <v>-32</v>
      </c>
      <c r="F72" s="38">
        <f t="shared" si="1"/>
        <v>0.43859999999999999</v>
      </c>
    </row>
    <row r="74" spans="1:6" x14ac:dyDescent="0.2">
      <c r="B74" s="37"/>
    </row>
  </sheetData>
  <sheetProtection formatCells="0" formatColumns="0" formatRows="0" insertColumns="0" insertRows="0" insertHyperlinks="0" deleteColumns="0" deleteRows="0"/>
  <mergeCells count="1">
    <mergeCell ref="A1:C1"/>
  </mergeCells>
  <phoneticPr fontId="0" type="noConversion"/>
  <printOptions horizontalCentered="1"/>
  <pageMargins left="0.25" right="0.25" top="0.75" bottom="0.75" header="0.3" footer="0.3"/>
  <pageSetup paperSize="9" scale="41" orientation="portrait" r:id="rId1"/>
  <headerFooter alignWithMargins="0">
    <oddFooter>&amp;R&amp;20&amp;P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20</vt:i4>
      </vt:variant>
    </vt:vector>
  </HeadingPairs>
  <TitlesOfParts>
    <vt:vector size="39" baseType="lpstr">
      <vt:lpstr>NFZ</vt:lpstr>
      <vt:lpstr>CENTRALA</vt:lpstr>
      <vt:lpstr>Razem OW</vt:lpstr>
      <vt:lpstr>Dolnośląski</vt:lpstr>
      <vt:lpstr>KujawskoPomorski</vt:lpstr>
      <vt:lpstr>Lubelski</vt:lpstr>
      <vt:lpstr>Lubuski</vt:lpstr>
      <vt:lpstr>Łódzki</vt:lpstr>
      <vt:lpstr>Małopolski</vt:lpstr>
      <vt:lpstr>Mazowiecki</vt:lpstr>
      <vt:lpstr>Opolski</vt:lpstr>
      <vt:lpstr>Podkarpacki</vt:lpstr>
      <vt:lpstr>Podlaski</vt:lpstr>
      <vt:lpstr>Pomorski</vt:lpstr>
      <vt:lpstr>Śląski</vt:lpstr>
      <vt:lpstr>Świętokrzyski</vt:lpstr>
      <vt:lpstr>WarmińskoMazurski</vt:lpstr>
      <vt:lpstr>Wielkopolski</vt:lpstr>
      <vt:lpstr>Zachodniopomorski</vt:lpstr>
      <vt:lpstr>CENTRALA!Obszar_wydruku</vt:lpstr>
      <vt:lpstr>Dolnośląski!Obszar_wydruku</vt:lpstr>
      <vt:lpstr>KujawskoPomorski!Obszar_wydruku</vt:lpstr>
      <vt:lpstr>Lubelski!Obszar_wydruku</vt:lpstr>
      <vt:lpstr>Lubuski!Obszar_wydruku</vt:lpstr>
      <vt:lpstr>Łódzki!Obszar_wydruku</vt:lpstr>
      <vt:lpstr>Małopolski!Obszar_wydruku</vt:lpstr>
      <vt:lpstr>Mazowiecki!Obszar_wydruku</vt:lpstr>
      <vt:lpstr>NFZ!Obszar_wydruku</vt:lpstr>
      <vt:lpstr>Opolski!Obszar_wydruku</vt:lpstr>
      <vt:lpstr>Podkarpacki!Obszar_wydruku</vt:lpstr>
      <vt:lpstr>Podlaski!Obszar_wydruku</vt:lpstr>
      <vt:lpstr>Pomorski!Obszar_wydruku</vt:lpstr>
      <vt:lpstr>'Razem OW'!Obszar_wydruku</vt:lpstr>
      <vt:lpstr>Śląski!Obszar_wydruku</vt:lpstr>
      <vt:lpstr>Świętokrzyski!Obszar_wydruku</vt:lpstr>
      <vt:lpstr>WarmińskoMazurski!Obszar_wydruku</vt:lpstr>
      <vt:lpstr>Wielkopolski!Obszar_wydruku</vt:lpstr>
      <vt:lpstr>Zachodniopomorski!Obszar_wydruku</vt:lpstr>
      <vt:lpstr>NFZ!Tytuły_wydruku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2020-12-08T10:22:43Z</cp:lastPrinted>
  <dcterms:created xsi:type="dcterms:W3CDTF">2005-07-21T09:51:05Z</dcterms:created>
  <dcterms:modified xsi:type="dcterms:W3CDTF">2021-01-15T09:26:11Z</dcterms:modified>
</cp:coreProperties>
</file>